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alffi\Dropbox\skola\2024\Reni\FAraO\"/>
    </mc:Choice>
  </mc:AlternateContent>
  <xr:revisionPtr revIDLastSave="0" documentId="13_ncr:1_{C2B668F9-B865-4F2E-B3CB-3405B152F6C4}" xr6:coauthVersionLast="36" xr6:coauthVersionMax="36" xr10:uidLastSave="{00000000-0000-0000-0000-000000000000}"/>
  <bookViews>
    <workbookView xWindow="0" yWindow="0" windowWidth="22008" windowHeight="9648" tabRatio="641" xr2:uid="{00000000-000D-0000-FFFF-FFFF00000000}"/>
  </bookViews>
  <sheets>
    <sheet name="analyzy" sheetId="1" r:id="rId1"/>
    <sheet name="dt15" sheetId="9" r:id="rId2"/>
    <sheet name="dt16" sheetId="6" r:id="rId3"/>
    <sheet name="dt17" sheetId="8" r:id="rId4"/>
    <sheet name="dt18" sheetId="10" r:id="rId5"/>
    <sheet name="dt19" sheetId="11" r:id="rId6"/>
    <sheet name="dt20" sheetId="12" r:id="rId7"/>
    <sheet name="dt21-22" sheetId="2" r:id="rId8"/>
    <sheet name="dt23-24" sheetId="3" r:id="rId9"/>
    <sheet name="kategorie" sheetId="4" r:id="rId10"/>
    <sheet name="volby" sheetId="5" r:id="rId11"/>
    <sheet name="pozn" sheetId="7" r:id="rId12"/>
  </sheets>
  <calcPr calcId="191029" iterateDelta="1E-4"/>
</workbook>
</file>

<file path=xl/calcChain.xml><?xml version="1.0" encoding="utf-8"?>
<calcChain xmlns="http://schemas.openxmlformats.org/spreadsheetml/2006/main">
  <c r="B20" i="12" l="1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2" i="11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3" i="10"/>
  <c r="B2" i="10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B2" i="8"/>
  <c r="B10" i="6"/>
  <c r="B11" i="6"/>
  <c r="B12" i="6"/>
  <c r="B13" i="6"/>
  <c r="B25" i="6"/>
  <c r="B24" i="6"/>
  <c r="B23" i="6"/>
  <c r="B22" i="6"/>
  <c r="B21" i="6"/>
  <c r="B20" i="6"/>
  <c r="B19" i="6"/>
  <c r="B18" i="6"/>
  <c r="B17" i="6"/>
  <c r="B16" i="6"/>
  <c r="B15" i="6"/>
  <c r="B14" i="6"/>
  <c r="B9" i="6"/>
  <c r="B8" i="6"/>
  <c r="B7" i="6"/>
  <c r="B6" i="6"/>
  <c r="B5" i="6"/>
  <c r="B4" i="6"/>
  <c r="B3" i="6"/>
  <c r="B2" i="6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" i="9"/>
  <c r="AC28" i="3"/>
  <c r="AF27" i="3"/>
  <c r="AD27" i="3"/>
  <c r="AC27" i="3"/>
  <c r="Z27" i="3"/>
  <c r="Y27" i="3"/>
  <c r="X27" i="3"/>
  <c r="W27" i="3"/>
  <c r="AF25" i="3"/>
  <c r="AE25" i="3"/>
  <c r="AC25" i="3"/>
  <c r="Z25" i="3"/>
  <c r="Y25" i="3"/>
  <c r="AG24" i="3"/>
  <c r="AF24" i="3"/>
  <c r="AE24" i="3"/>
  <c r="AD24" i="3"/>
  <c r="AC24" i="3"/>
  <c r="AB24" i="3"/>
  <c r="AA24" i="3"/>
  <c r="Z24" i="3"/>
  <c r="Y24" i="3"/>
  <c r="V24" i="3"/>
  <c r="U24" i="3"/>
  <c r="AF20" i="3"/>
  <c r="AE20" i="3"/>
  <c r="AF19" i="3"/>
  <c r="AD19" i="3"/>
  <c r="Z19" i="3"/>
  <c r="V19" i="3"/>
  <c r="AF17" i="3"/>
  <c r="Z17" i="3"/>
  <c r="X17" i="3"/>
  <c r="W17" i="3"/>
  <c r="AE16" i="3"/>
  <c r="AD16" i="3"/>
  <c r="AC16" i="3"/>
  <c r="Z16" i="3"/>
  <c r="X16" i="3"/>
  <c r="AC14" i="3"/>
  <c r="AB14" i="3"/>
  <c r="AA14" i="3"/>
  <c r="Z14" i="3"/>
  <c r="AF13" i="3"/>
  <c r="AB13" i="3"/>
  <c r="AA13" i="3"/>
  <c r="AE12" i="3"/>
  <c r="AB12" i="3"/>
  <c r="V12" i="3"/>
  <c r="U12" i="3"/>
  <c r="AG11" i="3"/>
  <c r="AF11" i="3"/>
  <c r="AE11" i="3"/>
  <c r="AD11" i="3"/>
  <c r="AC11" i="3"/>
  <c r="AB11" i="3"/>
  <c r="Z11" i="3"/>
  <c r="V11" i="3"/>
  <c r="U11" i="3"/>
  <c r="AG10" i="3"/>
  <c r="AE10" i="3"/>
  <c r="AD10" i="3"/>
  <c r="AC10" i="3"/>
  <c r="AB10" i="3"/>
  <c r="Z10" i="3"/>
  <c r="V10" i="3"/>
  <c r="U10" i="3"/>
  <c r="AG9" i="3"/>
  <c r="AF9" i="3"/>
  <c r="AE9" i="3"/>
  <c r="AD9" i="3"/>
  <c r="AC9" i="3"/>
  <c r="AB9" i="3"/>
  <c r="AA9" i="3"/>
  <c r="Z9" i="3"/>
  <c r="V9" i="3"/>
  <c r="U9" i="3"/>
  <c r="AG7" i="3"/>
  <c r="AF7" i="3"/>
  <c r="AC7" i="3"/>
  <c r="AB7" i="3"/>
  <c r="Z7" i="3"/>
  <c r="AF6" i="3"/>
  <c r="AD5" i="3"/>
  <c r="AC5" i="3"/>
  <c r="AA5" i="3"/>
  <c r="Z5" i="3"/>
  <c r="AB4" i="3"/>
  <c r="AD3" i="3"/>
  <c r="Z3" i="3"/>
  <c r="AG2" i="3"/>
  <c r="AC2" i="3"/>
  <c r="AB2" i="3"/>
  <c r="M16" i="11"/>
  <c r="B28" i="3"/>
  <c r="C28" i="3" s="1"/>
  <c r="B27" i="3"/>
  <c r="C27" i="3" s="1"/>
  <c r="B26" i="3"/>
  <c r="C26" i="3" s="1"/>
  <c r="B25" i="3"/>
  <c r="C25" i="3" s="1"/>
  <c r="B24" i="3"/>
  <c r="C24" i="3" s="1"/>
  <c r="B23" i="3"/>
  <c r="C23" i="3" s="1"/>
  <c r="B22" i="3"/>
  <c r="C22" i="3" s="1"/>
  <c r="B21" i="3"/>
  <c r="C21" i="3" s="1"/>
  <c r="B20" i="3"/>
  <c r="C20" i="3" s="1"/>
  <c r="B19" i="3"/>
  <c r="C19" i="3" s="1"/>
  <c r="B18" i="3"/>
  <c r="C18" i="3" s="1"/>
  <c r="B17" i="3"/>
  <c r="C17" i="3" s="1"/>
  <c r="B16" i="3"/>
  <c r="C16" i="3" s="1"/>
  <c r="B15" i="3"/>
  <c r="C15" i="3" s="1"/>
  <c r="B14" i="3"/>
  <c r="C14" i="3" s="1"/>
  <c r="B13" i="3"/>
  <c r="C13" i="3" s="1"/>
  <c r="B12" i="3"/>
  <c r="C12" i="3" s="1"/>
  <c r="B11" i="3"/>
  <c r="C11" i="3" s="1"/>
  <c r="B10" i="3"/>
  <c r="C10" i="3" s="1"/>
  <c r="B9" i="3"/>
  <c r="C9" i="3" s="1"/>
  <c r="B8" i="3"/>
  <c r="C8" i="3" s="1"/>
  <c r="B7" i="3"/>
  <c r="C7" i="3" s="1"/>
  <c r="B6" i="3"/>
  <c r="C6" i="3" s="1"/>
  <c r="B5" i="3"/>
  <c r="C5" i="3" s="1"/>
  <c r="B4" i="3"/>
  <c r="C4" i="3" s="1"/>
  <c r="B3" i="3"/>
  <c r="C3" i="3" s="1"/>
  <c r="B2" i="3"/>
  <c r="C2" i="3" s="1"/>
  <c r="B22" i="2"/>
  <c r="B21" i="2"/>
  <c r="B20" i="2"/>
  <c r="B19" i="2"/>
  <c r="B18" i="2"/>
  <c r="B17" i="2"/>
  <c r="B16" i="2"/>
  <c r="C16" i="2" s="1"/>
  <c r="B15" i="2"/>
  <c r="C15" i="2" s="1"/>
  <c r="B14" i="2"/>
  <c r="C14" i="2" s="1"/>
  <c r="B13" i="2"/>
  <c r="C13" i="2" s="1"/>
  <c r="B12" i="2"/>
  <c r="C12" i="2" s="1"/>
  <c r="B11" i="2"/>
  <c r="C11" i="2" s="1"/>
  <c r="B10" i="2"/>
  <c r="C10" i="2" s="1"/>
  <c r="B9" i="2"/>
  <c r="C9" i="2" s="1"/>
  <c r="B8" i="2"/>
  <c r="C8" i="2" s="1"/>
  <c r="B7" i="2"/>
  <c r="C7" i="2" s="1"/>
  <c r="B6" i="2"/>
  <c r="C6" i="2" s="1"/>
  <c r="B5" i="2"/>
  <c r="C5" i="2" s="1"/>
  <c r="B4" i="2"/>
  <c r="C4" i="2" s="1"/>
  <c r="B3" i="2"/>
  <c r="C3" i="2" s="1"/>
  <c r="B2" i="2"/>
  <c r="C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Unknown Author</author>
  </authors>
  <commentList>
    <comment ref="J62" authorId="0" shapeId="0" xr:uid="{00000000-0006-0000-0000-000001000000}">
      <text>
        <r>
          <rPr>
            <sz val="10"/>
            <rFont val="Arial"/>
            <family val="2"/>
          </rPr>
          <t>Výběr ze seznamu.</t>
        </r>
      </text>
    </comment>
    <comment ref="K62" authorId="0" shapeId="0" xr:uid="{00000000-0006-0000-0000-000002000000}">
      <text>
        <r>
          <rPr>
            <sz val="10"/>
            <rFont val="Arial"/>
            <family val="2"/>
          </rPr>
          <t>Výběr ze seznamu.</t>
        </r>
      </text>
    </comment>
    <comment ref="L62" authorId="0" shapeId="0" xr:uid="{00000000-0006-0000-0000-000003000000}">
      <text>
        <r>
          <rPr>
            <sz val="10"/>
            <rFont val="Arial"/>
            <family val="2"/>
          </rPr>
          <t>Výběr ze seznamu.</t>
        </r>
      </text>
    </comment>
    <comment ref="M62" authorId="0" shapeId="0" xr:uid="{00000000-0006-0000-0000-000004000000}">
      <text>
        <r>
          <rPr>
            <sz val="10"/>
            <rFont val="Arial"/>
            <family val="2"/>
          </rPr>
          <t>Výběr ze seznamu.</t>
        </r>
      </text>
    </comment>
    <comment ref="M63" authorId="0" shapeId="0" xr:uid="{00000000-0006-0000-0000-000005000000}">
      <text>
        <r>
          <rPr>
            <sz val="10"/>
            <rFont val="Arial"/>
            <family val="2"/>
          </rPr>
          <t>Výběr ze seznamu.</t>
        </r>
      </text>
    </comment>
  </commentList>
</comments>
</file>

<file path=xl/sharedStrings.xml><?xml version="1.0" encoding="utf-8"?>
<sst xmlns="http://schemas.openxmlformats.org/spreadsheetml/2006/main" count="729" uniqueCount="370">
  <si>
    <t>id</t>
  </si>
  <si>
    <t>obec</t>
  </si>
  <si>
    <t>rok</t>
  </si>
  <si>
    <t>mesic</t>
  </si>
  <si>
    <t>den</t>
  </si>
  <si>
    <t>obyvatel</t>
  </si>
  <si>
    <t>konstrukce</t>
  </si>
  <si>
    <t>sidelni_struktura</t>
  </si>
  <si>
    <t>typ_svozu</t>
  </si>
  <si>
    <t>typ_zastavby</t>
  </si>
  <si>
    <t>Teplice</t>
  </si>
  <si>
    <t>pravidelný</t>
  </si>
  <si>
    <t>Kopřivnice</t>
  </si>
  <si>
    <t>bytová</t>
  </si>
  <si>
    <t>rodinné domy</t>
  </si>
  <si>
    <t>Sedlec-Prčice</t>
  </si>
  <si>
    <t>Paskov</t>
  </si>
  <si>
    <t>Rudolfov</t>
  </si>
  <si>
    <t>Studená</t>
  </si>
  <si>
    <t>Vrchlabí</t>
  </si>
  <si>
    <t>Kaplice</t>
  </si>
  <si>
    <t>Votice</t>
  </si>
  <si>
    <t>Heřmanův Městec</t>
  </si>
  <si>
    <t>Černošice</t>
  </si>
  <si>
    <t>chaty</t>
  </si>
  <si>
    <t>Chyňava</t>
  </si>
  <si>
    <t>Litomyšl</t>
  </si>
  <si>
    <t>Trojanovice</t>
  </si>
  <si>
    <t>Lomnice nad Lužnicí</t>
  </si>
  <si>
    <t>odpad_id</t>
  </si>
  <si>
    <t>nazev</t>
  </si>
  <si>
    <t>kategorie</t>
  </si>
  <si>
    <t>an_1</t>
  </si>
  <si>
    <t>an_2</t>
  </si>
  <si>
    <t>an_3</t>
  </si>
  <si>
    <t>an_4</t>
  </si>
  <si>
    <t>an_5</t>
  </si>
  <si>
    <t>an_6</t>
  </si>
  <si>
    <t>an_7</t>
  </si>
  <si>
    <t>an_8</t>
  </si>
  <si>
    <t>an_9</t>
  </si>
  <si>
    <t>an_101</t>
  </si>
  <si>
    <t>an_102</t>
  </si>
  <si>
    <t>an_103</t>
  </si>
  <si>
    <t>an_104</t>
  </si>
  <si>
    <t>an_105</t>
  </si>
  <si>
    <t>an_106</t>
  </si>
  <si>
    <t>an_107</t>
  </si>
  <si>
    <t>an_108</t>
  </si>
  <si>
    <t>an_109</t>
  </si>
  <si>
    <t>an_110</t>
  </si>
  <si>
    <t>an_111</t>
  </si>
  <si>
    <t>an_112</t>
  </si>
  <si>
    <t>an_113</t>
  </si>
  <si>
    <t>an_114</t>
  </si>
  <si>
    <t>Zahradní zeleň</t>
  </si>
  <si>
    <t>BIO</t>
  </si>
  <si>
    <t>Plast měkký</t>
  </si>
  <si>
    <t>PLAST</t>
  </si>
  <si>
    <t>Plastové folie</t>
  </si>
  <si>
    <t>PET lahve</t>
  </si>
  <si>
    <t>HDP tvrdé plasty</t>
  </si>
  <si>
    <t>Papír, tiskoviny</t>
  </si>
  <si>
    <t>PAPIR</t>
  </si>
  <si>
    <t>Sklo</t>
  </si>
  <si>
    <t>SKLO</t>
  </si>
  <si>
    <t>elektroodpad</t>
  </si>
  <si>
    <t>ELEKTROZAŘÍZENÍ</t>
  </si>
  <si>
    <t>procesované dřevo</t>
  </si>
  <si>
    <t>DŘEVO - upravené</t>
  </si>
  <si>
    <t>Textil</t>
  </si>
  <si>
    <t>Kov</t>
  </si>
  <si>
    <t>nápojový karton</t>
  </si>
  <si>
    <t>NÁPOJOVÉ KARTONY</t>
  </si>
  <si>
    <t>Stavební odpad</t>
  </si>
  <si>
    <t>Infekční/neinfekční odpad</t>
  </si>
  <si>
    <t>Popel</t>
  </si>
  <si>
    <t>Směsný komunální odpad</t>
  </si>
  <si>
    <t>ostatní obalový</t>
  </si>
  <si>
    <t>časopisy, letáky, novinový a kancelářský papír a podobné</t>
  </si>
  <si>
    <t>PS</t>
  </si>
  <si>
    <t>ze zahrad a parků</t>
  </si>
  <si>
    <t>sklo obalové</t>
  </si>
  <si>
    <t>sklo ostatní</t>
  </si>
  <si>
    <t>feromagnetický</t>
  </si>
  <si>
    <t>KOV</t>
  </si>
  <si>
    <t>hliníkový</t>
  </si>
  <si>
    <t>ostatní</t>
  </si>
  <si>
    <t>oděvy</t>
  </si>
  <si>
    <t>TEXTIL</t>
  </si>
  <si>
    <t xml:space="preserve">ostatní textil </t>
  </si>
  <si>
    <t>baterie a akumulátory</t>
  </si>
  <si>
    <t>BATERIE/ AKUMULÁTORY</t>
  </si>
  <si>
    <t>hygienické odpady</t>
  </si>
  <si>
    <t>stavební/minerální odpad</t>
  </si>
  <si>
    <t>nebezpečné odpady</t>
  </si>
  <si>
    <t>komplexní produkty</t>
  </si>
  <si>
    <t>kompozitní obaly</t>
  </si>
  <si>
    <t>konstrukce staveb</t>
  </si>
  <si>
    <t>sídelní struktura</t>
  </si>
  <si>
    <t>typ svozu odpadů</t>
  </si>
  <si>
    <t>Jednotka</t>
  </si>
  <si>
    <t>zástavba</t>
  </si>
  <si>
    <t>venkovské oblasti</t>
  </si>
  <si>
    <t>venkovská (&lt; 150 os./km^2)</t>
  </si>
  <si>
    <t>g</t>
  </si>
  <si>
    <t>městská zástavba</t>
  </si>
  <si>
    <t>hustá venkovská (150 – 750 os./km^2)</t>
  </si>
  <si>
    <t>podle naplněnosti</t>
  </si>
  <si>
    <t>dkg</t>
  </si>
  <si>
    <t>rozsáhlé bytové komplexy</t>
  </si>
  <si>
    <t>Městská (&gt; 750 os./km^2)</t>
  </si>
  <si>
    <t>kg</t>
  </si>
  <si>
    <t>nespecifikováno</t>
  </si>
  <si>
    <t>t</t>
  </si>
  <si>
    <t>pozn</t>
  </si>
  <si>
    <t>Praha Malešice</t>
  </si>
  <si>
    <t>ZAHRADNÍ ZELEŇ</t>
  </si>
  <si>
    <t>GASTROODPAD</t>
  </si>
  <si>
    <t>PLAST MĚKKÝ</t>
  </si>
  <si>
    <t>FOLIE ČIRÁ</t>
  </si>
  <si>
    <t>FOLIE BAREVNÁ</t>
  </si>
  <si>
    <t>PET LAHEV SVĚTLÁ</t>
  </si>
  <si>
    <t>PET LAHEV BAREVNÁ</t>
  </si>
  <si>
    <t>HDP TVRDÉ PLASTY</t>
  </si>
  <si>
    <t>LEPENKA, KARTON</t>
  </si>
  <si>
    <t>TISKOVINY</t>
  </si>
  <si>
    <t>SMĚSNÝ KOMUNÁLNÍ ODPAD</t>
  </si>
  <si>
    <t>SKO POD SÍTEM/POPEL</t>
  </si>
  <si>
    <t>SKO</t>
  </si>
  <si>
    <t>ELEKTROODPAD</t>
  </si>
  <si>
    <t>TEXTIL + OBUV</t>
  </si>
  <si>
    <t>NÁPOJOVÝ KARTON</t>
  </si>
  <si>
    <t>DŘEVO, DŘEVOTŘÍSKA</t>
  </si>
  <si>
    <t>STAVEBNÍ ODPAD</t>
  </si>
  <si>
    <t>NEBEZPEČNÝ ODPAD</t>
  </si>
  <si>
    <t>INFEKČNÍ/NEINFEKČNÍ ODPAD</t>
  </si>
  <si>
    <t>PAPÍR MIX</t>
  </si>
  <si>
    <t>SKLO MIX</t>
  </si>
  <si>
    <t>an_10</t>
  </si>
  <si>
    <t>an_11</t>
  </si>
  <si>
    <t>Lhenice</t>
  </si>
  <si>
    <t>ASOMPO a.s.</t>
  </si>
  <si>
    <t>Prostřední Bečva</t>
  </si>
  <si>
    <t>skládka</t>
  </si>
  <si>
    <t>v roce 2016 mely 4537 obyvatel, mozna spatne zkopirovano podle Lhenice</t>
  </si>
  <si>
    <t>Finské domky</t>
  </si>
  <si>
    <t>Kam patří kategorie Finské domky z analýzi v roce 2016?</t>
  </si>
  <si>
    <t>an_6 kam patří ASOMPO? Má cenu specifikovat obec?</t>
  </si>
  <si>
    <t>Únětice</t>
  </si>
  <si>
    <t>Jaroměřice</t>
  </si>
  <si>
    <t>Harrachov</t>
  </si>
  <si>
    <t>an_12</t>
  </si>
  <si>
    <t>an_13</t>
  </si>
  <si>
    <t>an_14</t>
  </si>
  <si>
    <t>an_15</t>
  </si>
  <si>
    <t>an_16</t>
  </si>
  <si>
    <t>an_17</t>
  </si>
  <si>
    <t>an_18</t>
  </si>
  <si>
    <t>an_19</t>
  </si>
  <si>
    <t>an_20</t>
  </si>
  <si>
    <t>Gastro odpad</t>
  </si>
  <si>
    <t>Papír, lepenka, karton</t>
  </si>
  <si>
    <t>Tiskoviny/papírové obaly</t>
  </si>
  <si>
    <t>Elektroodpad</t>
  </si>
  <si>
    <t>Nápojové kartony</t>
  </si>
  <si>
    <t>Dřevo/dřevotříska</t>
  </si>
  <si>
    <t xml:space="preserve">Popel/nebezpečný odpad </t>
  </si>
  <si>
    <t xml:space="preserve">Směsný komunální odpad pod sítem </t>
  </si>
  <si>
    <t>Papír, lepenka</t>
  </si>
  <si>
    <t>Popel/nebezpečný odpad</t>
  </si>
  <si>
    <t xml:space="preserve">Celkem komunální odpad pod sítem </t>
  </si>
  <si>
    <t xml:space="preserve">lepenka, karton </t>
  </si>
  <si>
    <t>Police nad Metují</t>
  </si>
  <si>
    <t>Choceň</t>
  </si>
  <si>
    <t>Hrušovany</t>
  </si>
  <si>
    <t>an_21</t>
  </si>
  <si>
    <t>an_22</t>
  </si>
  <si>
    <t>an_23</t>
  </si>
  <si>
    <t>an_24</t>
  </si>
  <si>
    <t>an_25</t>
  </si>
  <si>
    <t>an_26</t>
  </si>
  <si>
    <t>an_27</t>
  </si>
  <si>
    <t>an_28</t>
  </si>
  <si>
    <t>an_29</t>
  </si>
  <si>
    <t>an_30</t>
  </si>
  <si>
    <t>Veselá</t>
  </si>
  <si>
    <t>Příbor</t>
  </si>
  <si>
    <t>Odolena Voda</t>
  </si>
  <si>
    <t>Modřice</t>
  </si>
  <si>
    <t>Družec</t>
  </si>
  <si>
    <t>Brniště</t>
  </si>
  <si>
    <t>Kovářská</t>
  </si>
  <si>
    <t>Ostřetín</t>
  </si>
  <si>
    <t>Buštěhrad</t>
  </si>
  <si>
    <t>Zádveřice-Raková</t>
  </si>
  <si>
    <t>Ratiboř</t>
  </si>
  <si>
    <t>Lukov</t>
  </si>
  <si>
    <t>Libchavy</t>
  </si>
  <si>
    <t>svoz_BIO</t>
  </si>
  <si>
    <t>Užívání kompostérů</t>
  </si>
  <si>
    <t>Hnědé BIO nádoby</t>
  </si>
  <si>
    <t>Domácí kompostéry 234 ks</t>
  </si>
  <si>
    <t>Domácí kompostéry</t>
  </si>
  <si>
    <t>pouze na SD</t>
  </si>
  <si>
    <t>an_31</t>
  </si>
  <si>
    <t>an_32</t>
  </si>
  <si>
    <t>an_33</t>
  </si>
  <si>
    <t>an_34</t>
  </si>
  <si>
    <t>an_35</t>
  </si>
  <si>
    <t>an_36</t>
  </si>
  <si>
    <t>an_37</t>
  </si>
  <si>
    <t>an_38</t>
  </si>
  <si>
    <t>an_39</t>
  </si>
  <si>
    <t>an_40</t>
  </si>
  <si>
    <t>an_41</t>
  </si>
  <si>
    <t>an_42</t>
  </si>
  <si>
    <t>an_43</t>
  </si>
  <si>
    <t>an_44</t>
  </si>
  <si>
    <t>an_45</t>
  </si>
  <si>
    <t>an_46</t>
  </si>
  <si>
    <t>an_47</t>
  </si>
  <si>
    <t>an_48</t>
  </si>
  <si>
    <t>an_49</t>
  </si>
  <si>
    <t>an_50</t>
  </si>
  <si>
    <t>an_51</t>
  </si>
  <si>
    <t>an_52</t>
  </si>
  <si>
    <t>Bělá pod Bezdězem</t>
  </si>
  <si>
    <t>Letohrad</t>
  </si>
  <si>
    <t>Nový Jičín</t>
  </si>
  <si>
    <t>Olešnice</t>
  </si>
  <si>
    <t>Dolní Podluží</t>
  </si>
  <si>
    <t>Veselí nad Lužnicí</t>
  </si>
  <si>
    <t>bio</t>
  </si>
  <si>
    <t>P5, 6 a 7</t>
  </si>
  <si>
    <t>2. analýza</t>
  </si>
  <si>
    <t>an_53</t>
  </si>
  <si>
    <t>an_54</t>
  </si>
  <si>
    <t>an_55</t>
  </si>
  <si>
    <t>an_56</t>
  </si>
  <si>
    <t>an_57</t>
  </si>
  <si>
    <t>an_58</t>
  </si>
  <si>
    <t>an_59</t>
  </si>
  <si>
    <t>an_60</t>
  </si>
  <si>
    <t>2020 Veselý nad Lužnicí - špatně datum</t>
  </si>
  <si>
    <t>an_61</t>
  </si>
  <si>
    <t>an_62</t>
  </si>
  <si>
    <t>an_63</t>
  </si>
  <si>
    <t>an_64</t>
  </si>
  <si>
    <t>an_65</t>
  </si>
  <si>
    <t>an_66</t>
  </si>
  <si>
    <t>an_67</t>
  </si>
  <si>
    <t>an_68</t>
  </si>
  <si>
    <t>an_69</t>
  </si>
  <si>
    <t>an_70</t>
  </si>
  <si>
    <t>an_71</t>
  </si>
  <si>
    <t>an_72</t>
  </si>
  <si>
    <t>an_73</t>
  </si>
  <si>
    <t>an_74</t>
  </si>
  <si>
    <t>an_75</t>
  </si>
  <si>
    <t>an_76</t>
  </si>
  <si>
    <t>an_77</t>
  </si>
  <si>
    <t>an_78</t>
  </si>
  <si>
    <t>an_79</t>
  </si>
  <si>
    <t>an_80</t>
  </si>
  <si>
    <t>an_81</t>
  </si>
  <si>
    <t>an_82</t>
  </si>
  <si>
    <t>an_83</t>
  </si>
  <si>
    <t>an_84</t>
  </si>
  <si>
    <t>Volary</t>
  </si>
  <si>
    <t>Jílovice</t>
  </si>
  <si>
    <t>České Velenice</t>
  </si>
  <si>
    <t>Borek</t>
  </si>
  <si>
    <t>České Budějovice</t>
  </si>
  <si>
    <t>Nové Sedlo</t>
  </si>
  <si>
    <t>Ústí nad Orlicí</t>
  </si>
  <si>
    <t>Kamenice nad Lipou</t>
  </si>
  <si>
    <t>Horní Stropnice</t>
  </si>
  <si>
    <t>pozor v  2022 PNO zdroji jsou některé datumy posunuty do roku 2023. V upravených datech je to opraveno.</t>
  </si>
  <si>
    <t>an_85</t>
  </si>
  <si>
    <t>an_86</t>
  </si>
  <si>
    <t>an_87</t>
  </si>
  <si>
    <t>an_88</t>
  </si>
  <si>
    <t>an_89</t>
  </si>
  <si>
    <t>an_90</t>
  </si>
  <si>
    <t>an_91</t>
  </si>
  <si>
    <t>an_92</t>
  </si>
  <si>
    <t>an_93</t>
  </si>
  <si>
    <t>an_94</t>
  </si>
  <si>
    <t>an_95</t>
  </si>
  <si>
    <t>an_96</t>
  </si>
  <si>
    <t>an_97</t>
  </si>
  <si>
    <t>an_98</t>
  </si>
  <si>
    <t>an_99</t>
  </si>
  <si>
    <t>an_100</t>
  </si>
  <si>
    <t>1 vz - ul. T.G.Masaryka - domy + byty</t>
  </si>
  <si>
    <t>1 vz - RD, byty</t>
  </si>
  <si>
    <t>kočkolit</t>
  </si>
  <si>
    <t>reuse</t>
  </si>
  <si>
    <t>popel</t>
  </si>
  <si>
    <t>pneumatiky</t>
  </si>
  <si>
    <t>tekutina</t>
  </si>
  <si>
    <t>bužírky</t>
  </si>
  <si>
    <t>objemný odpad</t>
  </si>
  <si>
    <t>obrazy</t>
  </si>
  <si>
    <t>Napajedla</t>
  </si>
  <si>
    <t>Libčice nad Vltavou</t>
  </si>
  <si>
    <t>Duchcov</t>
  </si>
  <si>
    <t>Hustopeče</t>
  </si>
  <si>
    <t>Milovice</t>
  </si>
  <si>
    <t>Lanškroun</t>
  </si>
  <si>
    <t>Slaný</t>
  </si>
  <si>
    <t>3VZ - Ano DTD</t>
  </si>
  <si>
    <t>3VZ - Ne DTD, Ano Bio</t>
  </si>
  <si>
    <t>3VZ - Ne DTD, Ne Bio</t>
  </si>
  <si>
    <t>Velešín</t>
  </si>
  <si>
    <t>Chýně</t>
  </si>
  <si>
    <t>Horní Suchá</t>
  </si>
  <si>
    <t>lat</t>
  </si>
  <si>
    <t>lon</t>
  </si>
  <si>
    <t>gastroodpad</t>
  </si>
  <si>
    <t>kategorie odpadu</t>
  </si>
  <si>
    <t>Ostatní ODPADY</t>
  </si>
  <si>
    <t>kategorie_odpadu</t>
  </si>
  <si>
    <t>nazev_odpadu</t>
  </si>
  <si>
    <t>fólie čirá</t>
  </si>
  <si>
    <t>fólie barevná</t>
  </si>
  <si>
    <t>pet lahev světlá</t>
  </si>
  <si>
    <t>pet lahev barevná</t>
  </si>
  <si>
    <t>SKO pod sítem/popel</t>
  </si>
  <si>
    <t>textil + obuv</t>
  </si>
  <si>
    <t>papír MIX</t>
  </si>
  <si>
    <t>sklo MIX</t>
  </si>
  <si>
    <t>popel/nebezpečný odpad</t>
  </si>
  <si>
    <t>nazev_seznam</t>
  </si>
  <si>
    <t>nazev_original</t>
  </si>
  <si>
    <t xml:space="preserve">směsný komunální odpad pod sítem </t>
  </si>
  <si>
    <t>zahradní zeleň</t>
  </si>
  <si>
    <t>kuchyňský odpad kompostovatelný</t>
  </si>
  <si>
    <t>kuchyňský odpad nekompostovatelný</t>
  </si>
  <si>
    <t>plast měkký</t>
  </si>
  <si>
    <t>plastové folie</t>
  </si>
  <si>
    <t>papír, tiskoviny</t>
  </si>
  <si>
    <t>lepenka, karton</t>
  </si>
  <si>
    <t>sklo</t>
  </si>
  <si>
    <t>textil</t>
  </si>
  <si>
    <t>kov</t>
  </si>
  <si>
    <t>stavební odpad</t>
  </si>
  <si>
    <t>léky</t>
  </si>
  <si>
    <t>infekční/neinfekční odpad</t>
  </si>
  <si>
    <t>směsný komunální odpad</t>
  </si>
  <si>
    <t>nebezpečný odpad</t>
  </si>
  <si>
    <t>poznámky</t>
  </si>
  <si>
    <t>zkontrolovat a sjednotit kategorie odpadu</t>
  </si>
  <si>
    <t>Horní Jiřetín</t>
  </si>
  <si>
    <t>Bílovec</t>
  </si>
  <si>
    <t>toto číslo jsem našel</t>
  </si>
  <si>
    <t>toto je číslo uvedené v analýze</t>
  </si>
  <si>
    <t>tady bylo v analýze nějak zvláštně datum</t>
  </si>
  <si>
    <t>ASOMPO</t>
  </si>
  <si>
    <t>Straškov-Vodochody</t>
  </si>
  <si>
    <t>obec_pozn</t>
  </si>
  <si>
    <t>ZEVO</t>
  </si>
  <si>
    <t>Životice u Nového Jičína</t>
  </si>
  <si>
    <t>původně jenom Životice, opraveno na Životice u Nového Jičína, tam je ASOMPO</t>
  </si>
  <si>
    <t>Praha 13</t>
  </si>
  <si>
    <t>Praha 15</t>
  </si>
  <si>
    <t>Praha 16</t>
  </si>
  <si>
    <t>Praha Štěrboholy</t>
  </si>
  <si>
    <t>Praha GASTRO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</si>
</sst>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1">
    <font>
      <sz val="11"/>
      <color theme="1"/>
      <name val="Calibri"/>
      <charset val="1"/>
    </font>
    <font>
      <sz val="11"/>
      <color theme="1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1"/>
      <color theme="1"/>
      <name val="Calibri"/>
      <family val="2"/>
      <charset val="1"/>
    </font>
    <font>
      <sz val="12"/>
      <color theme="1"/>
      <name val="Calibri"/>
      <charset val="1"/>
    </font>
    <font>
      <sz val="10"/>
      <name val="Arial"/>
      <family val="2"/>
    </font>
    <font>
      <b/>
      <sz val="11"/>
      <color theme="1"/>
      <name val="Calibri"/>
      <charset val="1"/>
    </font>
    <font>
      <sz val="9"/>
      <color theme="1"/>
      <name val="Lexend"/>
      <charset val="1"/>
    </font>
    <font>
      <sz val="11"/>
      <color theme="1"/>
      <name val="Calibri"/>
      <charset val="1"/>
    </font>
    <font>
      <b/>
      <sz val="10"/>
      <color theme="1"/>
      <name val="Calibri"/>
    </font>
    <font>
      <sz val="12"/>
      <color theme="1"/>
      <name val="Calibri"/>
    </font>
    <font>
      <sz val="10"/>
      <color theme="1"/>
      <name val="Calibri"/>
    </font>
    <font>
      <sz val="10"/>
      <color theme="1"/>
      <name val="Arial"/>
    </font>
    <font>
      <b/>
      <sz val="11"/>
      <color theme="1"/>
      <name val="Calibri"/>
    </font>
    <font>
      <b/>
      <sz val="12"/>
      <color theme="1"/>
      <name val="Calibri"/>
    </font>
    <font>
      <b/>
      <sz val="11"/>
      <color theme="1"/>
      <name val="Calibri"/>
      <family val="2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Lexend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1F1F1F"/>
      <name val="Arial"/>
      <family val="2"/>
    </font>
    <font>
      <b/>
      <sz val="10"/>
      <color rgb="FF6E6E6E"/>
      <name val="Roboto"/>
    </font>
    <font>
      <sz val="8"/>
      <color rgb="FF333333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5A6BD"/>
        <bgColor rgb="FFD5A6BD"/>
      </patternFill>
    </fill>
    <fill>
      <patternFill patternType="solid">
        <fgColor rgb="FFB6D7A8"/>
        <bgColor rgb="FFB6D7A8"/>
      </patternFill>
    </fill>
    <fill>
      <patternFill patternType="solid">
        <fgColor rgb="FFB7B7B7"/>
        <bgColor rgb="FFB7B7B7"/>
      </patternFill>
    </fill>
    <fill>
      <patternFill patternType="solid">
        <fgColor rgb="FF666666"/>
        <bgColor rgb="FF666666"/>
      </patternFill>
    </fill>
    <fill>
      <patternFill patternType="solid">
        <fgColor rgb="FFF8CBAD"/>
        <bgColor rgb="FFF8CBAD"/>
      </patternFill>
    </fill>
    <fill>
      <patternFill patternType="solid">
        <fgColor rgb="FFFFE599"/>
        <bgColor rgb="FFFFE599"/>
      </patternFill>
    </fill>
    <fill>
      <patternFill patternType="solid">
        <fgColor rgb="FFA2C4C9"/>
        <bgColor rgb="FFA2C4C9"/>
      </patternFill>
    </fill>
    <fill>
      <patternFill patternType="solid">
        <fgColor rgb="FFA64D79"/>
        <bgColor rgb="FFA64D7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8" fillId="0" borderId="0"/>
    <xf numFmtId="0" fontId="1" fillId="0" borderId="0"/>
    <xf numFmtId="0" fontId="2" fillId="0" borderId="0"/>
    <xf numFmtId="0" fontId="23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1" applyFont="1" applyBorder="1" applyAlignment="1">
      <alignment horizontal="center"/>
    </xf>
    <xf numFmtId="0" fontId="1" fillId="0" borderId="0" xfId="2" applyFont="1" applyBorder="1" applyAlignment="1">
      <alignment horizontal="center"/>
    </xf>
    <xf numFmtId="164" fontId="1" fillId="0" borderId="0" xfId="2" applyNumberFormat="1" applyFont="1" applyBorder="1" applyAlignment="1">
      <alignment horizontal="center"/>
    </xf>
    <xf numFmtId="2" fontId="1" fillId="0" borderId="0" xfId="2" applyNumberFormat="1" applyFont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0" fontId="1" fillId="2" borderId="0" xfId="2" applyFont="1" applyFill="1" applyBorder="1" applyAlignment="1">
      <alignment horizontal="center"/>
    </xf>
    <xf numFmtId="0" fontId="0" fillId="0" borderId="0" xfId="0" applyBorder="1"/>
    <xf numFmtId="0" fontId="0" fillId="0" borderId="0" xfId="1" applyFont="1" applyBorder="1"/>
    <xf numFmtId="0" fontId="6" fillId="0" borderId="0" xfId="0" applyFont="1"/>
    <xf numFmtId="0" fontId="0" fillId="0" borderId="0" xfId="0" applyAlignment="1">
      <alignment vertical="center"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7" fillId="0" borderId="0" xfId="3" applyFont="1" applyBorder="1" applyAlignment="1">
      <alignment wrapText="1"/>
    </xf>
    <xf numFmtId="0" fontId="6" fillId="0" borderId="0" xfId="0" applyFont="1" applyBorder="1" applyAlignment="1" applyProtection="1"/>
    <xf numFmtId="0" fontId="0" fillId="0" borderId="0" xfId="0" applyFont="1"/>
    <xf numFmtId="0" fontId="1" fillId="0" borderId="0" xfId="0" applyFont="1"/>
    <xf numFmtId="9" fontId="13" fillId="0" borderId="0" xfId="0" applyNumberFormat="1" applyFont="1" applyBorder="1"/>
    <xf numFmtId="0" fontId="10" fillId="0" borderId="0" xfId="0" applyFont="1" applyBorder="1"/>
    <xf numFmtId="0" fontId="0" fillId="4" borderId="0" xfId="0" applyFill="1"/>
    <xf numFmtId="0" fontId="0" fillId="5" borderId="0" xfId="0" applyFill="1" applyAlignment="1">
      <alignment horizontal="center"/>
    </xf>
    <xf numFmtId="0" fontId="10" fillId="3" borderId="0" xfId="0" applyFont="1" applyFill="1" applyBorder="1"/>
    <xf numFmtId="0" fontId="12" fillId="3" borderId="0" xfId="0" applyFont="1" applyFill="1" applyBorder="1"/>
    <xf numFmtId="0" fontId="0" fillId="0" borderId="0" xfId="0" applyFill="1" applyBorder="1"/>
    <xf numFmtId="0" fontId="10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1" fillId="0" borderId="0" xfId="0" applyFont="1" applyFill="1" applyBorder="1"/>
    <xf numFmtId="0" fontId="15" fillId="0" borderId="0" xfId="0" applyFont="1" applyBorder="1"/>
    <xf numFmtId="0" fontId="16" fillId="0" borderId="0" xfId="0" applyFont="1" applyFill="1" applyBorder="1"/>
    <xf numFmtId="0" fontId="17" fillId="0" borderId="0" xfId="0" applyFont="1" applyFill="1" applyBorder="1"/>
    <xf numFmtId="0" fontId="18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Fill="1" applyBorder="1"/>
    <xf numFmtId="0" fontId="15" fillId="0" borderId="0" xfId="0" applyFont="1"/>
    <xf numFmtId="0" fontId="18" fillId="0" borderId="0" xfId="0" applyFont="1" applyAlignment="1">
      <alignment horizontal="center" wrapText="1"/>
    </xf>
    <xf numFmtId="164" fontId="19" fillId="0" borderId="0" xfId="0" applyNumberFormat="1" applyFont="1" applyFill="1" applyBorder="1"/>
    <xf numFmtId="0" fontId="15" fillId="0" borderId="0" xfId="0" applyFont="1" applyFill="1" applyBorder="1"/>
    <xf numFmtId="0" fontId="0" fillId="0" borderId="0" xfId="0" applyFill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Border="1"/>
    <xf numFmtId="164" fontId="19" fillId="0" borderId="0" xfId="0" applyNumberFormat="1" applyFont="1" applyBorder="1"/>
    <xf numFmtId="164" fontId="21" fillId="0" borderId="0" xfId="0" applyNumberFormat="1" applyFont="1" applyBorder="1"/>
    <xf numFmtId="164" fontId="19" fillId="3" borderId="0" xfId="0" applyNumberFormat="1" applyFont="1" applyFill="1" applyBorder="1"/>
    <xf numFmtId="0" fontId="0" fillId="4" borderId="0" xfId="0" applyFill="1" applyAlignment="1">
      <alignment horizontal="center" wrapText="1"/>
    </xf>
    <xf numFmtId="2" fontId="16" fillId="0" borderId="0" xfId="0" applyNumberFormat="1" applyFont="1" applyFill="1" applyBorder="1"/>
    <xf numFmtId="0" fontId="22" fillId="0" borderId="0" xfId="0" applyFont="1" applyFill="1" applyBorder="1"/>
    <xf numFmtId="0" fontId="18" fillId="0" borderId="0" xfId="4" applyFont="1" applyBorder="1" applyAlignment="1"/>
    <xf numFmtId="164" fontId="18" fillId="0" borderId="0" xfId="4" applyNumberFormat="1" applyFont="1" applyBorder="1"/>
    <xf numFmtId="0" fontId="24" fillId="0" borderId="0" xfId="4" applyFont="1" applyBorder="1" applyAlignment="1">
      <alignment horizontal="right"/>
    </xf>
    <xf numFmtId="2" fontId="18" fillId="0" borderId="0" xfId="4" applyNumberFormat="1" applyFont="1" applyBorder="1" applyAlignment="1"/>
    <xf numFmtId="0" fontId="18" fillId="3" borderId="0" xfId="4" applyFont="1" applyFill="1" applyBorder="1" applyAlignment="1"/>
    <xf numFmtId="0" fontId="18" fillId="3" borderId="0" xfId="4" applyFont="1" applyFill="1" applyBorder="1"/>
    <xf numFmtId="0" fontId="18" fillId="0" borderId="0" xfId="0" applyFont="1" applyBorder="1"/>
    <xf numFmtId="0" fontId="18" fillId="0" borderId="0" xfId="4" applyFont="1" applyBorder="1" applyAlignment="1">
      <alignment horizontal="right"/>
    </xf>
    <xf numFmtId="0" fontId="24" fillId="0" borderId="0" xfId="4" applyFont="1" applyBorder="1" applyAlignment="1">
      <alignment horizontal="right" wrapText="1"/>
    </xf>
    <xf numFmtId="2" fontId="24" fillId="0" borderId="0" xfId="4" applyNumberFormat="1" applyFont="1" applyBorder="1" applyAlignment="1">
      <alignment horizontal="right"/>
    </xf>
    <xf numFmtId="165" fontId="24" fillId="0" borderId="0" xfId="4" applyNumberFormat="1" applyFont="1" applyBorder="1" applyAlignment="1"/>
    <xf numFmtId="0" fontId="24" fillId="6" borderId="0" xfId="4" applyFont="1" applyFill="1" applyBorder="1" applyAlignment="1">
      <alignment horizontal="right"/>
    </xf>
    <xf numFmtId="0" fontId="18" fillId="6" borderId="0" xfId="4" applyFont="1" applyFill="1" applyBorder="1" applyAlignment="1">
      <alignment horizontal="right"/>
    </xf>
    <xf numFmtId="0" fontId="25" fillId="7" borderId="0" xfId="0" applyFont="1" applyFill="1" applyAlignment="1">
      <alignment horizontal="center" vertical="center"/>
    </xf>
    <xf numFmtId="0" fontId="25" fillId="8" borderId="0" xfId="0" applyFont="1" applyFill="1" applyAlignment="1">
      <alignment horizontal="center" vertical="center"/>
    </xf>
    <xf numFmtId="0" fontId="25" fillId="9" borderId="0" xfId="0" applyFont="1" applyFill="1" applyAlignment="1">
      <alignment horizontal="center" vertical="center"/>
    </xf>
    <xf numFmtId="0" fontId="25" fillId="10" borderId="0" xfId="0" applyFont="1" applyFill="1" applyAlignment="1">
      <alignment horizontal="center" vertical="center"/>
    </xf>
    <xf numFmtId="0" fontId="25" fillId="11" borderId="0" xfId="0" applyFont="1" applyFill="1" applyAlignment="1">
      <alignment horizontal="center" vertical="center" wrapText="1"/>
    </xf>
    <xf numFmtId="0" fontId="25" fillId="12" borderId="0" xfId="0" applyFont="1" applyFill="1" applyAlignment="1">
      <alignment horizontal="center" vertical="center"/>
    </xf>
    <xf numFmtId="0" fontId="25" fillId="13" borderId="0" xfId="0" applyFont="1" applyFill="1" applyAlignment="1">
      <alignment horizontal="center" vertical="center"/>
    </xf>
    <xf numFmtId="0" fontId="25" fillId="14" borderId="0" xfId="0" applyFont="1" applyFill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/>
    </xf>
    <xf numFmtId="4" fontId="25" fillId="0" borderId="0" xfId="0" applyNumberFormat="1" applyFont="1" applyFill="1" applyBorder="1" applyAlignment="1">
      <alignment horizontal="center" wrapText="1"/>
    </xf>
    <xf numFmtId="0" fontId="25" fillId="0" borderId="0" xfId="0" applyFont="1" applyBorder="1" applyAlignment="1">
      <alignment wrapText="1"/>
    </xf>
    <xf numFmtId="0" fontId="5" fillId="0" borderId="0" xfId="0" applyFont="1" applyBorder="1" applyAlignment="1"/>
    <xf numFmtId="0" fontId="25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/>
    <xf numFmtId="0" fontId="18" fillId="0" borderId="0" xfId="0" applyFont="1" applyBorder="1" applyAlignment="1">
      <alignment wrapText="1"/>
    </xf>
    <xf numFmtId="0" fontId="7" fillId="0" borderId="0" xfId="3" applyFont="1" applyBorder="1" applyAlignment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vertical="center" wrapText="1"/>
    </xf>
    <xf numFmtId="0" fontId="18" fillId="0" borderId="0" xfId="1" applyFont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18" fillId="0" borderId="0" xfId="3" applyFont="1" applyBorder="1" applyAlignment="1">
      <alignment wrapText="1"/>
    </xf>
    <xf numFmtId="0" fontId="18" fillId="0" borderId="0" xfId="1" applyFont="1" applyBorder="1" applyAlignment="1">
      <alignment horizontal="left" wrapText="1"/>
    </xf>
    <xf numFmtId="0" fontId="18" fillId="0" borderId="0" xfId="0" applyFont="1" applyAlignment="1">
      <alignment vertical="center" wrapText="1"/>
    </xf>
    <xf numFmtId="0" fontId="26" fillId="0" borderId="0" xfId="0" applyFont="1"/>
    <xf numFmtId="0" fontId="0" fillId="4" borderId="0" xfId="0" applyFill="1" applyAlignment="1">
      <alignment vertical="center" wrapText="1"/>
    </xf>
    <xf numFmtId="0" fontId="27" fillId="4" borderId="0" xfId="0" applyFont="1" applyFill="1"/>
    <xf numFmtId="0" fontId="18" fillId="4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3" fontId="28" fillId="4" borderId="0" xfId="0" applyNumberFormat="1" applyFont="1" applyFill="1"/>
    <xf numFmtId="0" fontId="29" fillId="15" borderId="0" xfId="0" applyFont="1" applyFill="1"/>
    <xf numFmtId="0" fontId="0" fillId="15" borderId="0" xfId="0" applyFill="1" applyAlignment="1">
      <alignment horizontal="center" wrapText="1"/>
    </xf>
    <xf numFmtId="0" fontId="18" fillId="16" borderId="0" xfId="0" applyFont="1" applyFill="1"/>
    <xf numFmtId="3" fontId="30" fillId="4" borderId="0" xfId="0" applyNumberFormat="1" applyFont="1" applyFill="1"/>
    <xf numFmtId="0" fontId="18" fillId="4" borderId="0" xfId="0" applyFont="1" applyFill="1"/>
    <xf numFmtId="0" fontId="0" fillId="4" borderId="0" xfId="0" applyFont="1" applyFill="1" applyBorder="1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center" wrapText="1"/>
    </xf>
    <xf numFmtId="0" fontId="18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left" wrapText="1"/>
    </xf>
    <xf numFmtId="0" fontId="18" fillId="0" borderId="0" xfId="0" applyFont="1" applyBorder="1" applyAlignment="1">
      <alignment horizontal="left"/>
    </xf>
    <xf numFmtId="0" fontId="18" fillId="4" borderId="0" xfId="0" applyFont="1" applyFill="1" applyAlignment="1">
      <alignment horizontal="left" wrapText="1"/>
    </xf>
    <xf numFmtId="0" fontId="18" fillId="0" borderId="0" xfId="0" applyFont="1" applyAlignment="1">
      <alignment horizontal="left" wrapText="1"/>
    </xf>
  </cellXfs>
  <cellStyles count="5">
    <cellStyle name="Normální" xfId="0" builtinId="0"/>
    <cellStyle name="Normální 2" xfId="1" xr:uid="{00000000-0005-0000-0000-000006000000}"/>
    <cellStyle name="Normální 3" xfId="2" xr:uid="{00000000-0005-0000-0000-000007000000}"/>
    <cellStyle name="Normální 4" xfId="3" xr:uid="{00000000-0005-0000-0000-000008000000}"/>
    <cellStyle name="Normální 5" xfId="4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5"/>
  <sheetViews>
    <sheetView tabSelected="1" zoomScale="90" zoomScaleNormal="90" workbookViewId="0">
      <pane ySplit="1" topLeftCell="A92" activePane="bottomLeft" state="frozen"/>
      <selection pane="bottomLeft" activeCell="B30" sqref="B2:B30"/>
    </sheetView>
  </sheetViews>
  <sheetFormatPr defaultColWidth="8.6640625" defaultRowHeight="14.4"/>
  <cols>
    <col min="1" max="1" width="7" style="1" bestFit="1" customWidth="1"/>
    <col min="2" max="2" width="28.77734375" style="2" customWidth="1"/>
    <col min="3" max="3" width="15.77734375" style="2" customWidth="1"/>
    <col min="4" max="4" width="8.88671875" style="2" bestFit="1" customWidth="1"/>
    <col min="5" max="5" width="9.21875" style="2" customWidth="1"/>
    <col min="6" max="6" width="5.44140625" style="2" bestFit="1" customWidth="1"/>
    <col min="7" max="7" width="6.109375" style="2" bestFit="1" customWidth="1"/>
    <col min="8" max="8" width="4.21875" style="2" bestFit="1" customWidth="1"/>
    <col min="9" max="9" width="10.21875" style="2" customWidth="1"/>
    <col min="10" max="10" width="14.21875" style="2" customWidth="1"/>
    <col min="11" max="11" width="19.77734375" style="2" customWidth="1"/>
    <col min="12" max="12" width="12.44140625" style="2" customWidth="1"/>
    <col min="13" max="14" width="13.6640625" style="1" customWidth="1"/>
    <col min="15" max="15" width="31" customWidth="1"/>
    <col min="16" max="16" width="17.44140625" bestFit="1" customWidth="1"/>
  </cols>
  <sheetData>
    <row r="1" spans="1:20" s="5" customFormat="1" ht="15.75" customHeight="1">
      <c r="A1" s="3" t="s">
        <v>0</v>
      </c>
      <c r="B1" s="4" t="s">
        <v>1</v>
      </c>
      <c r="C1" s="4" t="s">
        <v>361</v>
      </c>
      <c r="D1" s="4" t="s">
        <v>318</v>
      </c>
      <c r="E1" s="4" t="s">
        <v>319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199</v>
      </c>
      <c r="O1" s="5" t="s">
        <v>115</v>
      </c>
    </row>
    <row r="2" spans="1:20" ht="15.75" customHeight="1">
      <c r="A2" s="1" t="s">
        <v>32</v>
      </c>
      <c r="B2" s="113" t="s">
        <v>116</v>
      </c>
      <c r="C2" s="49"/>
      <c r="D2" s="99">
        <v>50.086100000000002</v>
      </c>
      <c r="E2" s="99">
        <v>14.505599999999999</v>
      </c>
      <c r="F2" s="2">
        <v>2015</v>
      </c>
      <c r="G2" s="2">
        <v>11</v>
      </c>
      <c r="H2" s="2">
        <v>15</v>
      </c>
      <c r="I2" s="2">
        <v>42381</v>
      </c>
    </row>
    <row r="3" spans="1:20" ht="15.75" customHeight="1">
      <c r="A3" s="1" t="s">
        <v>33</v>
      </c>
      <c r="B3" s="113" t="s">
        <v>116</v>
      </c>
      <c r="D3" s="99">
        <v>50.086100000000002</v>
      </c>
      <c r="E3" s="99">
        <v>14.505599999999999</v>
      </c>
      <c r="F3" s="2">
        <v>2015</v>
      </c>
      <c r="G3" s="2">
        <v>11</v>
      </c>
      <c r="H3" s="2">
        <v>10</v>
      </c>
      <c r="I3" s="2">
        <v>42381</v>
      </c>
    </row>
    <row r="4" spans="1:20" ht="15.75" customHeight="1">
      <c r="A4" s="1" t="s">
        <v>34</v>
      </c>
      <c r="B4" s="113" t="s">
        <v>116</v>
      </c>
      <c r="D4" s="99">
        <v>50.086100000000002</v>
      </c>
      <c r="E4" s="99">
        <v>14.505599999999999</v>
      </c>
      <c r="F4" s="2">
        <v>2015</v>
      </c>
      <c r="G4" s="2">
        <v>11</v>
      </c>
      <c r="H4" s="2">
        <v>27</v>
      </c>
      <c r="I4" s="2">
        <v>42381</v>
      </c>
      <c r="P4" s="18"/>
      <c r="Q4" s="18"/>
      <c r="R4" s="18"/>
      <c r="S4" s="18"/>
      <c r="T4" s="18"/>
    </row>
    <row r="5" spans="1:20" ht="15.75" customHeight="1">
      <c r="A5" s="1" t="s">
        <v>35</v>
      </c>
      <c r="B5" s="114" t="s">
        <v>141</v>
      </c>
      <c r="C5" s="87"/>
      <c r="D5" s="100">
        <v>48.994877000000002</v>
      </c>
      <c r="E5" s="100">
        <v>14.149813</v>
      </c>
      <c r="F5" s="2">
        <v>2016</v>
      </c>
      <c r="G5" s="2">
        <v>5</v>
      </c>
      <c r="H5" s="2">
        <v>17</v>
      </c>
      <c r="I5" s="2">
        <v>1989</v>
      </c>
      <c r="P5" s="18"/>
      <c r="Q5" s="18"/>
      <c r="R5" s="18"/>
      <c r="S5" s="18"/>
      <c r="T5" s="18"/>
    </row>
    <row r="6" spans="1:20" ht="15.75" customHeight="1">
      <c r="A6" s="1" t="s">
        <v>36</v>
      </c>
      <c r="B6" s="114" t="s">
        <v>141</v>
      </c>
      <c r="C6" s="87"/>
      <c r="D6" s="100">
        <v>48.994877000000002</v>
      </c>
      <c r="E6" s="100">
        <v>14.149813</v>
      </c>
      <c r="F6" s="2">
        <v>2016</v>
      </c>
      <c r="G6" s="2">
        <v>8</v>
      </c>
      <c r="H6" s="2">
        <v>23</v>
      </c>
      <c r="I6" s="2">
        <v>1989</v>
      </c>
      <c r="P6" s="18"/>
      <c r="Q6" s="18"/>
      <c r="R6" s="18"/>
      <c r="S6" s="18"/>
      <c r="T6" s="18"/>
    </row>
    <row r="7" spans="1:20" ht="15.75" customHeight="1">
      <c r="A7" s="1" t="s">
        <v>37</v>
      </c>
      <c r="B7" s="113"/>
      <c r="C7" s="87" t="s">
        <v>142</v>
      </c>
      <c r="D7" s="112"/>
      <c r="E7" s="112"/>
      <c r="F7" s="2">
        <v>2016</v>
      </c>
      <c r="G7" s="2">
        <v>6</v>
      </c>
      <c r="H7" s="2">
        <v>21</v>
      </c>
      <c r="O7" t="s">
        <v>144</v>
      </c>
      <c r="P7" s="18"/>
      <c r="Q7" s="18"/>
      <c r="R7" s="18"/>
      <c r="S7" s="18"/>
      <c r="T7" s="18"/>
    </row>
    <row r="8" spans="1:20" ht="15.75" customHeight="1">
      <c r="A8" s="1" t="s">
        <v>38</v>
      </c>
      <c r="B8" s="114" t="s">
        <v>27</v>
      </c>
      <c r="C8" s="87"/>
      <c r="D8" s="30">
        <v>49.5167</v>
      </c>
      <c r="E8" s="30">
        <v>18.2333</v>
      </c>
      <c r="F8" s="2">
        <v>2016</v>
      </c>
      <c r="G8" s="2">
        <v>6</v>
      </c>
      <c r="H8" s="2">
        <v>23</v>
      </c>
      <c r="I8" s="2">
        <v>2544</v>
      </c>
      <c r="P8" s="18"/>
      <c r="Q8" s="18"/>
      <c r="R8" s="18"/>
      <c r="S8" s="18"/>
      <c r="T8" s="18"/>
    </row>
    <row r="9" spans="1:20" ht="15.75" customHeight="1">
      <c r="A9" s="1" t="s">
        <v>39</v>
      </c>
      <c r="B9" s="114" t="s">
        <v>317</v>
      </c>
      <c r="C9" s="87"/>
      <c r="D9" s="30">
        <v>49.808100000000003</v>
      </c>
      <c r="E9" s="30">
        <v>18.476700000000001</v>
      </c>
      <c r="F9" s="2">
        <v>2016</v>
      </c>
      <c r="G9" s="2">
        <v>5</v>
      </c>
      <c r="H9" s="2">
        <v>17</v>
      </c>
      <c r="I9" s="58">
        <v>4537</v>
      </c>
      <c r="M9" s="31" t="s">
        <v>146</v>
      </c>
      <c r="N9" s="52"/>
      <c r="O9" s="30" t="s">
        <v>145</v>
      </c>
      <c r="P9" s="28"/>
      <c r="Q9" s="18"/>
      <c r="R9" s="28"/>
      <c r="S9" s="18"/>
      <c r="T9" s="29"/>
    </row>
    <row r="10" spans="1:20" ht="15.75" customHeight="1">
      <c r="A10" s="1" t="s">
        <v>40</v>
      </c>
      <c r="B10" s="114" t="s">
        <v>317</v>
      </c>
      <c r="C10" s="87"/>
      <c r="D10" s="30">
        <v>49.808100000000003</v>
      </c>
      <c r="E10" s="30">
        <v>18.476700000000001</v>
      </c>
      <c r="F10" s="2">
        <v>2016</v>
      </c>
      <c r="G10" s="2">
        <v>8</v>
      </c>
      <c r="H10" s="2">
        <v>23</v>
      </c>
      <c r="I10" s="58">
        <v>4537</v>
      </c>
      <c r="M10" s="11" t="s">
        <v>13</v>
      </c>
      <c r="P10" s="18"/>
      <c r="Q10" s="18"/>
      <c r="R10" s="18"/>
      <c r="S10" s="18"/>
      <c r="T10" s="18"/>
    </row>
    <row r="11" spans="1:20">
      <c r="A11" s="1" t="s">
        <v>139</v>
      </c>
      <c r="B11" s="114" t="s">
        <v>317</v>
      </c>
      <c r="C11" s="87"/>
      <c r="D11" s="30">
        <v>49.808100000000003</v>
      </c>
      <c r="E11" s="30">
        <v>18.476700000000001</v>
      </c>
      <c r="F11" s="2">
        <v>2016</v>
      </c>
      <c r="G11" s="2">
        <v>6</v>
      </c>
      <c r="H11" s="2">
        <v>21</v>
      </c>
      <c r="I11" s="58">
        <v>4537</v>
      </c>
      <c r="M11" s="11" t="s">
        <v>14</v>
      </c>
    </row>
    <row r="12" spans="1:20" ht="16.2" customHeight="1">
      <c r="A12" s="1" t="s">
        <v>140</v>
      </c>
      <c r="B12" s="114" t="s">
        <v>143</v>
      </c>
      <c r="C12" s="87"/>
      <c r="D12" s="101">
        <v>49.431100000000001</v>
      </c>
      <c r="E12" s="101">
        <v>18.258299999999998</v>
      </c>
      <c r="F12" s="2">
        <v>2016</v>
      </c>
      <c r="G12" s="2">
        <v>5</v>
      </c>
      <c r="H12" s="2">
        <v>9</v>
      </c>
      <c r="I12" s="2">
        <v>1700</v>
      </c>
      <c r="M12" s="11"/>
      <c r="P12" s="97"/>
      <c r="Q12" s="97"/>
      <c r="R12" s="97"/>
    </row>
    <row r="13" spans="1:20" ht="16.2" customHeight="1">
      <c r="A13" s="1" t="s">
        <v>152</v>
      </c>
      <c r="B13" s="115" t="s">
        <v>363</v>
      </c>
      <c r="C13" s="49" t="s">
        <v>359</v>
      </c>
      <c r="D13" s="102"/>
      <c r="E13" s="102"/>
      <c r="F13" s="2">
        <v>2017</v>
      </c>
      <c r="G13" s="2">
        <v>2</v>
      </c>
      <c r="H13" s="2">
        <v>21</v>
      </c>
      <c r="M13" s="11"/>
      <c r="O13" s="44" t="s">
        <v>364</v>
      </c>
      <c r="P13" s="97"/>
      <c r="Q13" s="97"/>
      <c r="R13" s="97"/>
    </row>
    <row r="14" spans="1:20" ht="16.2" customHeight="1">
      <c r="A14" s="1" t="s">
        <v>153</v>
      </c>
      <c r="B14" s="116" t="s">
        <v>229</v>
      </c>
      <c r="C14" s="49" t="s">
        <v>359</v>
      </c>
      <c r="D14" s="101">
        <v>49.5944</v>
      </c>
      <c r="E14" s="101">
        <v>18.010300000000001</v>
      </c>
      <c r="F14" s="2">
        <v>2017</v>
      </c>
      <c r="G14" s="2">
        <v>2</v>
      </c>
      <c r="H14" s="2">
        <v>21</v>
      </c>
      <c r="I14" s="58">
        <v>23795</v>
      </c>
      <c r="M14" s="11"/>
      <c r="P14" s="97"/>
      <c r="Q14" s="97"/>
      <c r="R14" s="97"/>
    </row>
    <row r="15" spans="1:20" ht="16.2" customHeight="1">
      <c r="A15" s="1" t="s">
        <v>154</v>
      </c>
      <c r="B15" s="113" t="s">
        <v>149</v>
      </c>
      <c r="D15" s="102"/>
      <c r="E15" s="102"/>
      <c r="F15" s="2">
        <v>2017</v>
      </c>
      <c r="G15" s="2">
        <v>6</v>
      </c>
      <c r="H15" s="2">
        <v>30</v>
      </c>
      <c r="I15" s="2">
        <v>700</v>
      </c>
      <c r="M15" s="11"/>
      <c r="P15" s="97"/>
      <c r="Q15" s="97"/>
      <c r="R15" s="97"/>
    </row>
    <row r="16" spans="1:20" ht="16.2" customHeight="1">
      <c r="A16" s="1" t="s">
        <v>155</v>
      </c>
      <c r="B16" s="116" t="s">
        <v>365</v>
      </c>
      <c r="C16" s="49" t="s">
        <v>362</v>
      </c>
      <c r="D16" s="101">
        <v>50.051499999999997</v>
      </c>
      <c r="E16" s="101">
        <v>14.334</v>
      </c>
      <c r="F16" s="2">
        <v>2017</v>
      </c>
      <c r="G16" s="2">
        <v>10</v>
      </c>
      <c r="H16" s="2">
        <v>24</v>
      </c>
      <c r="I16" s="103">
        <v>52539</v>
      </c>
      <c r="M16" s="11"/>
      <c r="P16" s="97"/>
      <c r="Q16" s="97"/>
      <c r="R16" s="97"/>
    </row>
    <row r="17" spans="1:18" ht="16.2" customHeight="1">
      <c r="A17" s="1" t="s">
        <v>156</v>
      </c>
      <c r="B17" s="116" t="s">
        <v>366</v>
      </c>
      <c r="C17" s="49" t="s">
        <v>362</v>
      </c>
      <c r="D17" s="101">
        <v>50.052999999999997</v>
      </c>
      <c r="E17" s="101">
        <v>14.515000000000001</v>
      </c>
      <c r="F17" s="2">
        <v>2017</v>
      </c>
      <c r="G17" s="2">
        <v>11</v>
      </c>
      <c r="H17" s="2">
        <v>20</v>
      </c>
      <c r="I17" s="104">
        <v>33286</v>
      </c>
      <c r="M17" s="11"/>
      <c r="O17" s="106" t="s">
        <v>356</v>
      </c>
      <c r="P17" s="97"/>
      <c r="Q17" s="97"/>
      <c r="R17" s="97"/>
    </row>
    <row r="18" spans="1:18">
      <c r="A18" s="1" t="s">
        <v>157</v>
      </c>
      <c r="B18" s="116" t="s">
        <v>365</v>
      </c>
      <c r="C18" s="49" t="s">
        <v>362</v>
      </c>
      <c r="D18" s="101">
        <v>50.051499999999997</v>
      </c>
      <c r="E18" s="101">
        <v>14.334</v>
      </c>
      <c r="F18" s="2">
        <v>2017</v>
      </c>
      <c r="G18" s="2">
        <v>4</v>
      </c>
      <c r="H18" s="2">
        <v>19</v>
      </c>
      <c r="I18" s="103">
        <v>52539</v>
      </c>
      <c r="M18" s="11"/>
      <c r="P18" s="97"/>
      <c r="Q18" s="97"/>
      <c r="R18" s="97"/>
    </row>
    <row r="19" spans="1:18">
      <c r="A19" s="1" t="s">
        <v>158</v>
      </c>
      <c r="B19" s="116" t="s">
        <v>365</v>
      </c>
      <c r="C19" s="49" t="s">
        <v>362</v>
      </c>
      <c r="D19" s="101">
        <v>50.051499999999997</v>
      </c>
      <c r="E19" s="101">
        <v>14.334</v>
      </c>
      <c r="F19" s="2">
        <v>2017</v>
      </c>
      <c r="G19" s="2">
        <v>7</v>
      </c>
      <c r="H19" s="2">
        <v>18</v>
      </c>
      <c r="I19" s="103">
        <v>52539</v>
      </c>
      <c r="M19" s="11"/>
      <c r="P19" s="97"/>
      <c r="Q19" s="97"/>
      <c r="R19" s="97"/>
    </row>
    <row r="20" spans="1:18">
      <c r="A20" s="1" t="s">
        <v>159</v>
      </c>
      <c r="B20" s="113" t="s">
        <v>150</v>
      </c>
      <c r="D20" s="98">
        <v>49.625585000000001</v>
      </c>
      <c r="E20" s="98">
        <v>16.751888000000001</v>
      </c>
      <c r="F20" s="2">
        <v>2017</v>
      </c>
      <c r="G20" s="2">
        <v>9</v>
      </c>
      <c r="H20" s="2">
        <v>27</v>
      </c>
      <c r="I20" s="103">
        <v>1203</v>
      </c>
      <c r="M20" s="11"/>
      <c r="P20" s="97"/>
      <c r="Q20" s="97"/>
      <c r="R20" s="97"/>
    </row>
    <row r="21" spans="1:18">
      <c r="A21" s="1" t="s">
        <v>160</v>
      </c>
      <c r="B21" s="113" t="s">
        <v>151</v>
      </c>
      <c r="D21" s="101">
        <v>50.772500000000001</v>
      </c>
      <c r="E21" s="101">
        <v>15.431100000000001</v>
      </c>
      <c r="F21" s="2">
        <v>2017</v>
      </c>
      <c r="G21" s="2">
        <v>8</v>
      </c>
      <c r="H21" s="2">
        <v>24</v>
      </c>
      <c r="I21" s="2">
        <v>1498</v>
      </c>
      <c r="M21" s="11"/>
      <c r="P21" s="97"/>
      <c r="Q21" s="97"/>
      <c r="R21" s="97"/>
    </row>
    <row r="22" spans="1:18">
      <c r="A22" s="1" t="s">
        <v>176</v>
      </c>
      <c r="B22" s="116" t="s">
        <v>366</v>
      </c>
      <c r="D22" s="101">
        <v>50.052999999999997</v>
      </c>
      <c r="E22" s="101">
        <v>14.515000000000001</v>
      </c>
      <c r="F22" s="2">
        <v>2018</v>
      </c>
      <c r="G22" s="2">
        <v>10</v>
      </c>
      <c r="H22" s="2">
        <v>17</v>
      </c>
      <c r="I22" s="105">
        <v>2241</v>
      </c>
      <c r="M22" s="11"/>
      <c r="O22" s="106" t="s">
        <v>357</v>
      </c>
      <c r="P22" s="97"/>
      <c r="Q22" s="97"/>
      <c r="R22" s="97"/>
    </row>
    <row r="23" spans="1:18" ht="16.2" customHeight="1">
      <c r="A23" s="1" t="s">
        <v>177</v>
      </c>
      <c r="B23" s="116" t="s">
        <v>366</v>
      </c>
      <c r="C23" s="49"/>
      <c r="D23" s="101">
        <v>50.052999999999997</v>
      </c>
      <c r="E23" s="101">
        <v>14.515000000000001</v>
      </c>
      <c r="F23" s="2">
        <v>2018</v>
      </c>
      <c r="G23" s="2">
        <v>4</v>
      </c>
      <c r="H23" s="2">
        <v>18</v>
      </c>
      <c r="I23" s="105">
        <v>2241</v>
      </c>
      <c r="M23" s="11"/>
      <c r="P23" s="97"/>
      <c r="Q23" s="97"/>
      <c r="R23" s="97"/>
    </row>
    <row r="24" spans="1:18">
      <c r="A24" s="1" t="s">
        <v>178</v>
      </c>
      <c r="B24" s="116" t="s">
        <v>365</v>
      </c>
      <c r="C24" s="49"/>
      <c r="D24" s="101">
        <v>50.051499999999997</v>
      </c>
      <c r="E24" s="101">
        <v>14.334</v>
      </c>
      <c r="F24" s="2">
        <v>2018</v>
      </c>
      <c r="G24" s="2">
        <v>4</v>
      </c>
      <c r="H24" s="2">
        <v>17</v>
      </c>
      <c r="I24" s="103">
        <v>52539</v>
      </c>
      <c r="M24" s="11"/>
      <c r="P24" s="97"/>
      <c r="Q24" s="97"/>
      <c r="R24" s="97"/>
    </row>
    <row r="25" spans="1:18">
      <c r="A25" s="1" t="s">
        <v>179</v>
      </c>
      <c r="B25" s="116" t="s">
        <v>366</v>
      </c>
      <c r="C25" s="49"/>
      <c r="D25" s="101">
        <v>50.052999999999997</v>
      </c>
      <c r="E25" s="101">
        <v>14.515000000000001</v>
      </c>
      <c r="F25" s="2">
        <v>2018</v>
      </c>
      <c r="G25" s="2">
        <v>1</v>
      </c>
      <c r="H25" s="2">
        <v>17</v>
      </c>
      <c r="I25" s="105">
        <v>2241</v>
      </c>
      <c r="M25" s="11"/>
      <c r="P25" s="97"/>
      <c r="Q25" s="97"/>
      <c r="R25" s="97"/>
    </row>
    <row r="26" spans="1:18">
      <c r="A26" s="1" t="s">
        <v>180</v>
      </c>
      <c r="B26" s="116" t="s">
        <v>367</v>
      </c>
      <c r="C26" s="49"/>
      <c r="D26" s="101">
        <v>49.993600000000001</v>
      </c>
      <c r="E26" s="101">
        <v>14.3736</v>
      </c>
      <c r="F26" s="2">
        <v>2018</v>
      </c>
      <c r="G26" s="2">
        <v>1</v>
      </c>
      <c r="H26" s="2">
        <v>16</v>
      </c>
      <c r="I26" s="107">
        <v>7605</v>
      </c>
      <c r="M26" s="11"/>
    </row>
    <row r="27" spans="1:18">
      <c r="A27" s="1" t="s">
        <v>181</v>
      </c>
      <c r="B27" s="116" t="s">
        <v>366</v>
      </c>
      <c r="C27" s="49"/>
      <c r="D27" s="101">
        <v>50.052999999999997</v>
      </c>
      <c r="E27" s="101">
        <v>14.515000000000001</v>
      </c>
      <c r="F27" s="2">
        <v>2018</v>
      </c>
      <c r="G27" s="2">
        <v>8</v>
      </c>
      <c r="H27" s="2">
        <v>8</v>
      </c>
      <c r="I27" s="105">
        <v>2241</v>
      </c>
      <c r="M27" s="11"/>
    </row>
    <row r="28" spans="1:18">
      <c r="A28" s="1" t="s">
        <v>182</v>
      </c>
      <c r="B28" s="116" t="s">
        <v>360</v>
      </c>
      <c r="C28" s="49"/>
      <c r="D28" s="101">
        <v>50.4</v>
      </c>
      <c r="E28" s="101">
        <v>14.2</v>
      </c>
      <c r="F28" s="2">
        <v>2018</v>
      </c>
      <c r="G28" s="2">
        <v>4</v>
      </c>
      <c r="H28" s="2">
        <v>27</v>
      </c>
      <c r="I28" s="2">
        <v>1073</v>
      </c>
      <c r="M28" s="11"/>
    </row>
    <row r="29" spans="1:18">
      <c r="A29" s="1" t="s">
        <v>183</v>
      </c>
      <c r="B29" s="116" t="s">
        <v>173</v>
      </c>
      <c r="C29" s="49"/>
      <c r="D29" s="101">
        <v>50.533299999999997</v>
      </c>
      <c r="E29" s="101">
        <v>16.2333</v>
      </c>
      <c r="F29" s="2">
        <v>2018</v>
      </c>
      <c r="G29" s="2">
        <v>4</v>
      </c>
      <c r="H29" s="2">
        <v>12</v>
      </c>
      <c r="I29" s="2">
        <v>4100</v>
      </c>
      <c r="M29" s="11"/>
    </row>
    <row r="30" spans="1:18">
      <c r="A30" s="1" t="s">
        <v>184</v>
      </c>
      <c r="B30" s="113" t="s">
        <v>174</v>
      </c>
      <c r="D30" s="101">
        <v>50</v>
      </c>
      <c r="E30" s="101">
        <v>16.166699999999999</v>
      </c>
      <c r="F30" s="2">
        <v>2018</v>
      </c>
      <c r="G30" s="2">
        <v>4</v>
      </c>
      <c r="H30" s="2">
        <v>25</v>
      </c>
      <c r="I30" s="2">
        <v>8666</v>
      </c>
      <c r="M30" s="11"/>
    </row>
    <row r="31" spans="1:18">
      <c r="A31" s="1" t="s">
        <v>185</v>
      </c>
      <c r="B31" s="97" t="s">
        <v>175</v>
      </c>
      <c r="C31" s="97"/>
      <c r="D31" s="98">
        <v>50.387348000000003</v>
      </c>
      <c r="E31" s="98">
        <v>13.498448</v>
      </c>
      <c r="F31" s="2">
        <v>2018</v>
      </c>
      <c r="G31" s="2">
        <v>9</v>
      </c>
      <c r="H31" s="2">
        <v>12</v>
      </c>
      <c r="I31" s="2">
        <v>547</v>
      </c>
      <c r="M31" s="11"/>
    </row>
    <row r="32" spans="1:18">
      <c r="A32" s="1" t="s">
        <v>205</v>
      </c>
      <c r="B32" s="97" t="s">
        <v>354</v>
      </c>
      <c r="C32" s="97"/>
      <c r="D32" s="101">
        <v>50.55</v>
      </c>
      <c r="E32" s="101">
        <v>13.566700000000001</v>
      </c>
      <c r="F32" s="2">
        <v>2019</v>
      </c>
      <c r="G32" s="2">
        <v>5</v>
      </c>
      <c r="H32" s="2">
        <v>16</v>
      </c>
      <c r="I32" s="2">
        <v>2241</v>
      </c>
      <c r="M32" s="11"/>
    </row>
    <row r="33" spans="1:14">
      <c r="A33" s="1" t="s">
        <v>206</v>
      </c>
      <c r="B33" s="97" t="s">
        <v>186</v>
      </c>
      <c r="C33" s="97"/>
      <c r="D33" s="102"/>
      <c r="E33" s="102"/>
      <c r="F33" s="2">
        <v>2019</v>
      </c>
      <c r="G33" s="2">
        <v>6</v>
      </c>
      <c r="H33" s="2">
        <v>13</v>
      </c>
      <c r="I33" s="2">
        <v>832</v>
      </c>
      <c r="M33" s="11"/>
    </row>
    <row r="34" spans="1:14">
      <c r="A34" s="1" t="s">
        <v>207</v>
      </c>
      <c r="B34" s="97" t="s">
        <v>368</v>
      </c>
      <c r="C34" s="97" t="s">
        <v>362</v>
      </c>
      <c r="D34" s="101">
        <v>50.078899999999997</v>
      </c>
      <c r="E34" s="101">
        <v>14.5489</v>
      </c>
      <c r="F34" s="2">
        <v>2019</v>
      </c>
      <c r="G34" s="2">
        <v>5</v>
      </c>
      <c r="H34" s="2">
        <v>23</v>
      </c>
      <c r="I34" s="58">
        <v>2022</v>
      </c>
      <c r="M34" s="11"/>
    </row>
    <row r="35" spans="1:14">
      <c r="A35" s="1" t="s">
        <v>208</v>
      </c>
      <c r="B35" s="97" t="s">
        <v>187</v>
      </c>
      <c r="C35" s="97"/>
      <c r="D35" s="101">
        <v>49.64</v>
      </c>
      <c r="E35" s="101">
        <v>18.144400000000001</v>
      </c>
      <c r="F35" s="2">
        <v>2019</v>
      </c>
      <c r="G35" s="2">
        <v>6</v>
      </c>
      <c r="H35" s="2">
        <v>18</v>
      </c>
      <c r="I35" s="2">
        <v>8452</v>
      </c>
      <c r="M35" s="11"/>
    </row>
    <row r="36" spans="1:14">
      <c r="A36" s="1" t="s">
        <v>209</v>
      </c>
      <c r="B36" s="97" t="s">
        <v>188</v>
      </c>
      <c r="C36" s="97"/>
      <c r="D36" s="101">
        <v>50.2333</v>
      </c>
      <c r="E36" s="101">
        <v>14.416700000000001</v>
      </c>
      <c r="F36" s="2">
        <v>2019</v>
      </c>
      <c r="G36" s="2">
        <v>6</v>
      </c>
      <c r="H36" s="2">
        <v>5</v>
      </c>
      <c r="I36" s="2">
        <v>6022</v>
      </c>
      <c r="M36" s="11"/>
    </row>
    <row r="37" spans="1:14">
      <c r="A37" s="1" t="s">
        <v>210</v>
      </c>
      <c r="B37" s="97" t="s">
        <v>189</v>
      </c>
      <c r="C37" s="97"/>
      <c r="D37" s="101">
        <v>49.133299999999998</v>
      </c>
      <c r="E37" s="101">
        <v>16.600000000000001</v>
      </c>
      <c r="F37" s="2">
        <v>2019</v>
      </c>
      <c r="G37" s="2">
        <v>6</v>
      </c>
      <c r="H37" s="2">
        <v>14</v>
      </c>
      <c r="I37" s="2">
        <v>5300</v>
      </c>
      <c r="M37" s="11"/>
    </row>
    <row r="38" spans="1:14">
      <c r="A38" s="1" t="s">
        <v>211</v>
      </c>
      <c r="B38" s="97" t="s">
        <v>190</v>
      </c>
      <c r="C38" s="97"/>
      <c r="D38" s="101">
        <v>50.116700000000002</v>
      </c>
      <c r="E38" s="101">
        <v>14.0167</v>
      </c>
      <c r="F38" s="2">
        <v>2019</v>
      </c>
      <c r="G38" s="2">
        <v>5</v>
      </c>
      <c r="H38" s="2">
        <v>22</v>
      </c>
      <c r="I38" s="2">
        <v>1064</v>
      </c>
      <c r="M38" s="11"/>
    </row>
    <row r="39" spans="1:14">
      <c r="A39" s="1" t="s">
        <v>212</v>
      </c>
      <c r="B39" s="97" t="s">
        <v>191</v>
      </c>
      <c r="C39" s="97"/>
      <c r="D39" s="101">
        <v>50.7333</v>
      </c>
      <c r="E39" s="101">
        <v>14.683299999999999</v>
      </c>
      <c r="F39" s="2">
        <v>2019</v>
      </c>
      <c r="G39" s="2">
        <v>6</v>
      </c>
      <c r="H39" s="2">
        <v>20</v>
      </c>
      <c r="I39" s="2">
        <v>1339</v>
      </c>
      <c r="M39" s="11"/>
      <c r="N39" s="1" t="s">
        <v>200</v>
      </c>
    </row>
    <row r="40" spans="1:14">
      <c r="A40" s="1" t="s">
        <v>213</v>
      </c>
      <c r="B40" s="97" t="s">
        <v>192</v>
      </c>
      <c r="C40" s="97"/>
      <c r="D40" s="101">
        <v>50.433300000000003</v>
      </c>
      <c r="E40" s="101">
        <v>13.083299999999999</v>
      </c>
      <c r="F40" s="2">
        <v>2019</v>
      </c>
      <c r="G40" s="2">
        <v>6</v>
      </c>
      <c r="H40" s="2">
        <v>26</v>
      </c>
      <c r="I40" s="58">
        <v>1008</v>
      </c>
      <c r="M40" s="11"/>
    </row>
    <row r="41" spans="1:14">
      <c r="A41" s="1" t="s">
        <v>214</v>
      </c>
      <c r="B41" s="97" t="s">
        <v>315</v>
      </c>
      <c r="C41" s="97"/>
      <c r="D41" s="101">
        <v>48.85</v>
      </c>
      <c r="E41" s="101">
        <v>14.45</v>
      </c>
      <c r="F41" s="2">
        <v>2019</v>
      </c>
      <c r="G41" s="2">
        <v>8</v>
      </c>
      <c r="H41" s="2">
        <v>27</v>
      </c>
      <c r="I41" s="2">
        <v>3900</v>
      </c>
      <c r="M41" s="11" t="s">
        <v>13</v>
      </c>
    </row>
    <row r="42" spans="1:14">
      <c r="A42" s="1" t="s">
        <v>215</v>
      </c>
      <c r="B42" s="97" t="s">
        <v>315</v>
      </c>
      <c r="C42" s="97"/>
      <c r="D42" s="101">
        <v>48.85</v>
      </c>
      <c r="E42" s="101">
        <v>14.45</v>
      </c>
      <c r="F42" s="2">
        <v>2019</v>
      </c>
      <c r="G42" s="2">
        <v>8</v>
      </c>
      <c r="H42" s="2">
        <v>27</v>
      </c>
      <c r="I42" s="2">
        <v>3900</v>
      </c>
      <c r="M42" s="11" t="s">
        <v>14</v>
      </c>
    </row>
    <row r="43" spans="1:14">
      <c r="A43" s="1" t="s">
        <v>216</v>
      </c>
      <c r="B43" s="97" t="s">
        <v>193</v>
      </c>
      <c r="C43" s="97"/>
      <c r="D43" s="101">
        <v>50</v>
      </c>
      <c r="E43" s="101">
        <v>16.100000000000001</v>
      </c>
      <c r="F43" s="2">
        <v>2019</v>
      </c>
      <c r="G43" s="2">
        <v>9</v>
      </c>
      <c r="H43" s="2">
        <v>6</v>
      </c>
      <c r="I43" s="2">
        <v>930</v>
      </c>
      <c r="M43" s="11"/>
      <c r="N43" s="1" t="s">
        <v>201</v>
      </c>
    </row>
    <row r="44" spans="1:14" ht="15.6">
      <c r="A44" s="1" t="s">
        <v>217</v>
      </c>
      <c r="B44" s="97" t="s">
        <v>194</v>
      </c>
      <c r="C44" s="97"/>
      <c r="D44" s="101">
        <v>50.15</v>
      </c>
      <c r="E44" s="101">
        <v>14.2</v>
      </c>
      <c r="F44" s="2">
        <v>2019</v>
      </c>
      <c r="G44" s="2">
        <v>9</v>
      </c>
      <c r="H44" s="2">
        <v>18</v>
      </c>
      <c r="I44" s="2">
        <v>3500</v>
      </c>
      <c r="M44" s="11"/>
      <c r="N44" s="54" t="s">
        <v>202</v>
      </c>
    </row>
    <row r="45" spans="1:14" ht="15.6">
      <c r="A45" s="1" t="s">
        <v>218</v>
      </c>
      <c r="B45" s="97" t="s">
        <v>195</v>
      </c>
      <c r="C45" s="97"/>
      <c r="D45" s="101">
        <v>49.216700000000003</v>
      </c>
      <c r="E45" s="101">
        <v>17.783300000000001</v>
      </c>
      <c r="F45" s="2">
        <v>2019</v>
      </c>
      <c r="G45" s="2">
        <v>9</v>
      </c>
      <c r="H45" s="2">
        <v>19</v>
      </c>
      <c r="I45" s="2">
        <v>1500</v>
      </c>
      <c r="M45" s="11"/>
      <c r="N45" s="54" t="s">
        <v>203</v>
      </c>
    </row>
    <row r="46" spans="1:14" ht="15.6">
      <c r="A46" s="1" t="s">
        <v>219</v>
      </c>
      <c r="B46" s="97" t="s">
        <v>196</v>
      </c>
      <c r="C46" s="97"/>
      <c r="D46" s="102"/>
      <c r="E46" s="102"/>
      <c r="F46" s="2">
        <v>2019</v>
      </c>
      <c r="G46" s="2">
        <v>9</v>
      </c>
      <c r="H46" s="2">
        <v>25</v>
      </c>
      <c r="I46" s="2">
        <v>1900</v>
      </c>
      <c r="M46" s="11"/>
      <c r="N46" s="54" t="s">
        <v>203</v>
      </c>
    </row>
    <row r="47" spans="1:14">
      <c r="A47" s="1" t="s">
        <v>220</v>
      </c>
      <c r="B47" s="97" t="s">
        <v>197</v>
      </c>
      <c r="C47" s="97"/>
      <c r="D47" s="102"/>
      <c r="E47" s="102"/>
      <c r="F47" s="2">
        <v>2019</v>
      </c>
      <c r="G47" s="2">
        <v>9</v>
      </c>
      <c r="H47" s="2">
        <v>30</v>
      </c>
      <c r="I47" s="2">
        <v>1800</v>
      </c>
      <c r="M47" s="11"/>
      <c r="N47" s="53" t="s">
        <v>204</v>
      </c>
    </row>
    <row r="48" spans="1:14">
      <c r="A48" s="1" t="s">
        <v>221</v>
      </c>
      <c r="B48" s="97" t="s">
        <v>316</v>
      </c>
      <c r="C48" s="97"/>
      <c r="D48" s="101">
        <v>50.066699999999997</v>
      </c>
      <c r="E48" s="101">
        <v>14.2333</v>
      </c>
      <c r="F48" s="2">
        <v>2019</v>
      </c>
      <c r="G48" s="2">
        <v>10</v>
      </c>
      <c r="H48" s="2">
        <v>16</v>
      </c>
      <c r="I48" s="2">
        <v>3400</v>
      </c>
      <c r="M48" s="11" t="s">
        <v>13</v>
      </c>
    </row>
    <row r="49" spans="1:15">
      <c r="A49" s="1" t="s">
        <v>222</v>
      </c>
      <c r="B49" s="97" t="s">
        <v>316</v>
      </c>
      <c r="C49" s="97"/>
      <c r="D49" s="101">
        <v>50.066699999999997</v>
      </c>
      <c r="E49" s="101">
        <v>14.2333</v>
      </c>
      <c r="F49" s="2">
        <v>2019</v>
      </c>
      <c r="G49" s="2">
        <v>10</v>
      </c>
      <c r="H49" s="2">
        <v>16</v>
      </c>
      <c r="I49" s="2">
        <v>3400</v>
      </c>
      <c r="M49" s="11" t="s">
        <v>14</v>
      </c>
    </row>
    <row r="50" spans="1:15">
      <c r="A50" s="1" t="s">
        <v>223</v>
      </c>
      <c r="B50" s="97" t="s">
        <v>198</v>
      </c>
      <c r="C50" s="97"/>
      <c r="D50" s="101">
        <v>50</v>
      </c>
      <c r="E50" s="101">
        <v>16.333300000000001</v>
      </c>
      <c r="F50" s="2">
        <v>2019</v>
      </c>
      <c r="G50" s="2">
        <v>11</v>
      </c>
      <c r="H50" s="2">
        <v>1</v>
      </c>
      <c r="I50" s="2">
        <v>1800</v>
      </c>
      <c r="M50" s="11"/>
    </row>
    <row r="51" spans="1:15">
      <c r="A51" s="1" t="s">
        <v>224</v>
      </c>
      <c r="B51" s="97" t="s">
        <v>368</v>
      </c>
      <c r="C51" s="97" t="s">
        <v>362</v>
      </c>
      <c r="D51" s="101">
        <v>50.078899999999997</v>
      </c>
      <c r="E51" s="101">
        <v>14.5489</v>
      </c>
      <c r="F51" s="2">
        <v>2019</v>
      </c>
      <c r="G51" s="2">
        <v>11</v>
      </c>
      <c r="H51" s="2">
        <v>28</v>
      </c>
      <c r="I51" s="58">
        <v>2022</v>
      </c>
      <c r="M51" s="11"/>
    </row>
    <row r="52" spans="1:15">
      <c r="A52" s="1" t="s">
        <v>225</v>
      </c>
      <c r="B52" s="97" t="s">
        <v>369</v>
      </c>
      <c r="C52" s="97" t="s">
        <v>362</v>
      </c>
      <c r="D52" s="102"/>
      <c r="E52" s="102"/>
      <c r="F52" s="2">
        <v>2019</v>
      </c>
      <c r="G52" s="2">
        <v>11</v>
      </c>
      <c r="H52" s="2">
        <v>28</v>
      </c>
      <c r="M52" s="11"/>
    </row>
    <row r="53" spans="1:15">
      <c r="A53" s="1" t="s">
        <v>226</v>
      </c>
      <c r="B53" s="97" t="s">
        <v>16</v>
      </c>
      <c r="C53" s="97"/>
      <c r="D53" s="101">
        <v>49.7</v>
      </c>
      <c r="E53" s="101">
        <v>18.3</v>
      </c>
      <c r="F53" s="2">
        <v>2019</v>
      </c>
      <c r="G53" s="2">
        <v>12</v>
      </c>
      <c r="H53" s="2">
        <v>3</v>
      </c>
      <c r="I53" s="103">
        <v>3890</v>
      </c>
      <c r="M53" s="11"/>
    </row>
    <row r="54" spans="1:15">
      <c r="A54" s="1" t="s">
        <v>236</v>
      </c>
      <c r="B54" s="97" t="s">
        <v>227</v>
      </c>
      <c r="C54" s="97"/>
      <c r="D54" s="101">
        <v>50.5</v>
      </c>
      <c r="E54" s="101">
        <v>14.8</v>
      </c>
      <c r="F54" s="2">
        <v>2020</v>
      </c>
      <c r="G54" s="2">
        <v>3</v>
      </c>
      <c r="H54" s="2">
        <v>2</v>
      </c>
      <c r="I54" s="2">
        <v>4800</v>
      </c>
      <c r="M54" s="11"/>
    </row>
    <row r="55" spans="1:15">
      <c r="A55" s="1" t="s">
        <v>237</v>
      </c>
      <c r="B55" s="97" t="s">
        <v>228</v>
      </c>
      <c r="C55" s="97"/>
      <c r="D55" s="101">
        <v>50.033299999999997</v>
      </c>
      <c r="E55" s="101">
        <v>16.5</v>
      </c>
      <c r="F55" s="2">
        <v>2020</v>
      </c>
      <c r="G55" s="2">
        <v>6</v>
      </c>
      <c r="H55" s="2">
        <v>17</v>
      </c>
      <c r="I55" s="2">
        <v>6400</v>
      </c>
      <c r="M55" s="11"/>
    </row>
    <row r="56" spans="1:15">
      <c r="A56" s="1" t="s">
        <v>238</v>
      </c>
      <c r="B56" s="97" t="s">
        <v>229</v>
      </c>
      <c r="C56" s="97"/>
      <c r="D56" s="101">
        <v>49.594200000000001</v>
      </c>
      <c r="E56" s="101">
        <v>18.010000000000002</v>
      </c>
      <c r="F56" s="2">
        <v>2020</v>
      </c>
      <c r="G56" s="2">
        <v>9</v>
      </c>
      <c r="H56" s="2">
        <v>24</v>
      </c>
      <c r="I56" s="2">
        <v>23260</v>
      </c>
      <c r="M56" s="11"/>
      <c r="N56" s="53" t="s">
        <v>233</v>
      </c>
    </row>
    <row r="57" spans="1:15">
      <c r="A57" s="1" t="s">
        <v>239</v>
      </c>
      <c r="B57" s="97" t="s">
        <v>230</v>
      </c>
      <c r="C57" s="97"/>
      <c r="D57" s="102"/>
      <c r="E57" s="102"/>
      <c r="F57" s="2">
        <v>2020</v>
      </c>
      <c r="G57" s="2">
        <v>6</v>
      </c>
      <c r="H57" s="2">
        <v>23</v>
      </c>
      <c r="I57" s="2">
        <v>1700</v>
      </c>
      <c r="M57" s="11"/>
    </row>
    <row r="58" spans="1:15">
      <c r="A58" s="1" t="s">
        <v>240</v>
      </c>
      <c r="B58" s="97" t="s">
        <v>231</v>
      </c>
      <c r="C58" s="97"/>
      <c r="D58" s="101">
        <v>50.883299999999998</v>
      </c>
      <c r="E58" s="101">
        <v>14.583299999999999</v>
      </c>
      <c r="F58" s="2">
        <v>2020</v>
      </c>
      <c r="G58" s="2">
        <v>2</v>
      </c>
      <c r="H58" s="2">
        <v>21</v>
      </c>
      <c r="I58" s="2">
        <v>1200</v>
      </c>
      <c r="M58" s="11"/>
    </row>
    <row r="59" spans="1:15">
      <c r="A59" s="1" t="s">
        <v>241</v>
      </c>
      <c r="B59" s="97" t="s">
        <v>232</v>
      </c>
      <c r="C59" s="97"/>
      <c r="D59" s="101">
        <v>49.190800000000003</v>
      </c>
      <c r="E59" s="101">
        <v>14.698600000000001</v>
      </c>
      <c r="F59" s="2">
        <v>2020</v>
      </c>
      <c r="G59" s="58">
        <v>2</v>
      </c>
      <c r="H59" s="58">
        <v>12</v>
      </c>
      <c r="I59" s="2">
        <v>6361</v>
      </c>
      <c r="M59" s="11"/>
      <c r="O59" s="108" t="s">
        <v>358</v>
      </c>
    </row>
    <row r="60" spans="1:15">
      <c r="A60" s="1" t="s">
        <v>242</v>
      </c>
      <c r="B60" s="97" t="s">
        <v>116</v>
      </c>
      <c r="C60" s="97" t="s">
        <v>362</v>
      </c>
      <c r="D60" s="101">
        <v>50.091900000000003</v>
      </c>
      <c r="E60" s="101">
        <v>14.515499999999999</v>
      </c>
      <c r="F60" s="2">
        <v>2020</v>
      </c>
      <c r="G60" s="2">
        <v>9</v>
      </c>
      <c r="H60" s="2">
        <v>30</v>
      </c>
      <c r="I60" s="2">
        <v>42381</v>
      </c>
      <c r="M60" s="11"/>
      <c r="N60" s="53" t="s">
        <v>234</v>
      </c>
    </row>
    <row r="61" spans="1:15">
      <c r="A61" s="1" t="s">
        <v>243</v>
      </c>
      <c r="B61" s="97" t="s">
        <v>231</v>
      </c>
      <c r="C61" s="97"/>
      <c r="D61" s="101">
        <v>50.883299999999998</v>
      </c>
      <c r="E61" s="101">
        <v>14.583299999999999</v>
      </c>
      <c r="F61" s="2">
        <v>2020</v>
      </c>
      <c r="G61" s="2">
        <v>9</v>
      </c>
      <c r="H61" s="2">
        <v>30</v>
      </c>
      <c r="I61" s="2">
        <v>1200</v>
      </c>
      <c r="M61" s="11"/>
      <c r="N61" s="53" t="s">
        <v>235</v>
      </c>
    </row>
    <row r="62" spans="1:15" ht="15.6">
      <c r="A62" s="1" t="s">
        <v>245</v>
      </c>
      <c r="B62" s="97" t="s">
        <v>10</v>
      </c>
      <c r="C62" s="97"/>
      <c r="D62" s="101">
        <v>50.640700000000002</v>
      </c>
      <c r="E62" s="101">
        <v>13.8248</v>
      </c>
      <c r="F62" s="7">
        <v>2021</v>
      </c>
      <c r="G62" s="7">
        <v>3</v>
      </c>
      <c r="H62" s="7">
        <v>31</v>
      </c>
      <c r="I62" s="8">
        <v>49705</v>
      </c>
      <c r="J62" s="8"/>
      <c r="K62" s="8"/>
      <c r="L62" s="8"/>
      <c r="M62" s="11"/>
      <c r="N62" s="11"/>
    </row>
    <row r="63" spans="1:15" ht="15.6">
      <c r="A63" s="1" t="s">
        <v>246</v>
      </c>
      <c r="B63" s="97" t="s">
        <v>12</v>
      </c>
      <c r="C63" s="97"/>
      <c r="D63" s="101">
        <v>49.599200000000003</v>
      </c>
      <c r="E63" s="101">
        <v>18.144400000000001</v>
      </c>
      <c r="F63" s="7">
        <v>2021</v>
      </c>
      <c r="G63" s="7">
        <v>4</v>
      </c>
      <c r="H63" s="7">
        <v>1</v>
      </c>
      <c r="I63" s="8">
        <v>22000</v>
      </c>
      <c r="J63" s="8"/>
      <c r="K63" s="8"/>
      <c r="L63" s="8"/>
      <c r="M63" s="6" t="s">
        <v>13</v>
      </c>
      <c r="N63" s="11"/>
    </row>
    <row r="64" spans="1:15" ht="15.6">
      <c r="A64" s="1" t="s">
        <v>247</v>
      </c>
      <c r="B64" s="97" t="s">
        <v>12</v>
      </c>
      <c r="C64" s="97"/>
      <c r="D64" s="101">
        <v>49.599200000000003</v>
      </c>
      <c r="E64" s="101">
        <v>18.144400000000001</v>
      </c>
      <c r="F64" s="7">
        <v>2021</v>
      </c>
      <c r="G64" s="7">
        <v>4</v>
      </c>
      <c r="H64" s="7">
        <v>1</v>
      </c>
      <c r="I64" s="8">
        <v>22000</v>
      </c>
      <c r="J64" s="8"/>
      <c r="K64" s="8"/>
      <c r="L64" s="8"/>
      <c r="M64" s="6" t="s">
        <v>14</v>
      </c>
      <c r="N64" s="11"/>
    </row>
    <row r="65" spans="1:14" ht="15.6">
      <c r="A65" s="1" t="s">
        <v>248</v>
      </c>
      <c r="B65" s="97" t="s">
        <v>355</v>
      </c>
      <c r="C65" s="97"/>
      <c r="D65" s="101">
        <v>49.759599999999999</v>
      </c>
      <c r="E65" s="101">
        <v>18.011800000000001</v>
      </c>
      <c r="F65" s="7">
        <v>2021</v>
      </c>
      <c r="G65" s="7">
        <v>4</v>
      </c>
      <c r="H65" s="7">
        <v>20</v>
      </c>
      <c r="I65" s="8">
        <v>7400</v>
      </c>
      <c r="J65" s="8"/>
      <c r="K65" s="8"/>
      <c r="L65" s="8"/>
      <c r="M65" s="6"/>
      <c r="N65" s="11"/>
    </row>
    <row r="66" spans="1:14" ht="15.6">
      <c r="A66" s="1" t="s">
        <v>249</v>
      </c>
      <c r="B66" s="97" t="s">
        <v>15</v>
      </c>
      <c r="C66" s="97"/>
      <c r="D66" s="101">
        <v>49.591200000000001</v>
      </c>
      <c r="E66" s="101">
        <v>14.531599999999999</v>
      </c>
      <c r="F66" s="7">
        <v>2021</v>
      </c>
      <c r="G66" s="7">
        <v>5</v>
      </c>
      <c r="H66" s="7">
        <v>6</v>
      </c>
      <c r="I66" s="8">
        <v>2900</v>
      </c>
      <c r="J66" s="8"/>
      <c r="K66" s="8"/>
      <c r="L66" s="8"/>
      <c r="M66" s="6"/>
      <c r="N66" s="11"/>
    </row>
    <row r="67" spans="1:14" ht="15.6">
      <c r="A67" s="1" t="s">
        <v>250</v>
      </c>
      <c r="B67" s="97" t="s">
        <v>16</v>
      </c>
      <c r="C67" s="97"/>
      <c r="D67" s="101">
        <v>49.7</v>
      </c>
      <c r="E67" s="101">
        <v>18.3</v>
      </c>
      <c r="F67" s="7">
        <v>2021</v>
      </c>
      <c r="G67" s="7">
        <v>5</v>
      </c>
      <c r="H67" s="7">
        <v>18</v>
      </c>
      <c r="I67" s="8">
        <v>3900</v>
      </c>
      <c r="J67" s="8"/>
      <c r="K67" s="8"/>
      <c r="L67" s="8"/>
      <c r="M67" s="6" t="s">
        <v>13</v>
      </c>
      <c r="N67" s="11"/>
    </row>
    <row r="68" spans="1:14" ht="15.6">
      <c r="A68" s="1" t="s">
        <v>251</v>
      </c>
      <c r="B68" s="97" t="s">
        <v>16</v>
      </c>
      <c r="C68" s="97"/>
      <c r="D68" s="101">
        <v>49.7</v>
      </c>
      <c r="E68" s="101">
        <v>18.3</v>
      </c>
      <c r="F68" s="7">
        <v>2021</v>
      </c>
      <c r="G68" s="7">
        <v>5</v>
      </c>
      <c r="H68" s="7">
        <v>18</v>
      </c>
      <c r="I68" s="8">
        <v>3900</v>
      </c>
      <c r="J68" s="8"/>
      <c r="K68" s="8"/>
      <c r="L68" s="8"/>
      <c r="M68" s="6" t="s">
        <v>14</v>
      </c>
      <c r="N68" s="11"/>
    </row>
    <row r="69" spans="1:14" ht="15.6">
      <c r="A69" s="1" t="s">
        <v>252</v>
      </c>
      <c r="B69" s="97" t="s">
        <v>17</v>
      </c>
      <c r="C69" s="97"/>
      <c r="D69" s="101">
        <v>48.987299999999998</v>
      </c>
      <c r="E69" s="101">
        <v>14.5067</v>
      </c>
      <c r="F69" s="7">
        <v>2021</v>
      </c>
      <c r="G69" s="7">
        <v>6</v>
      </c>
      <c r="H69" s="7">
        <v>22</v>
      </c>
      <c r="I69" s="8">
        <v>2600</v>
      </c>
      <c r="J69" s="8"/>
      <c r="K69" s="8"/>
      <c r="L69" s="8"/>
      <c r="M69" s="6"/>
      <c r="N69" s="11"/>
    </row>
    <row r="70" spans="1:14" ht="15.6">
      <c r="A70" s="1" t="s">
        <v>253</v>
      </c>
      <c r="B70" s="97" t="s">
        <v>18</v>
      </c>
      <c r="C70" s="97"/>
      <c r="D70" s="102"/>
      <c r="E70" s="102"/>
      <c r="F70" s="7">
        <v>2021</v>
      </c>
      <c r="G70" s="7">
        <v>10</v>
      </c>
      <c r="H70" s="7">
        <v>14</v>
      </c>
      <c r="I70" s="8">
        <v>2300</v>
      </c>
      <c r="J70" s="8"/>
      <c r="K70" s="8"/>
      <c r="L70" s="8"/>
      <c r="M70" s="6"/>
      <c r="N70" s="11"/>
    </row>
    <row r="71" spans="1:14" ht="15.6">
      <c r="A71" s="1" t="s">
        <v>254</v>
      </c>
      <c r="B71" s="97" t="s">
        <v>10</v>
      </c>
      <c r="C71" s="97"/>
      <c r="D71" s="101">
        <v>50.640700000000002</v>
      </c>
      <c r="E71" s="101">
        <v>13.8248</v>
      </c>
      <c r="F71" s="7">
        <v>2022</v>
      </c>
      <c r="G71" s="7">
        <v>4</v>
      </c>
      <c r="H71" s="7">
        <v>21</v>
      </c>
      <c r="I71" s="109">
        <v>48766</v>
      </c>
      <c r="J71" s="8"/>
      <c r="K71" s="8"/>
      <c r="L71" s="8"/>
      <c r="M71" s="11"/>
      <c r="N71" s="11"/>
    </row>
    <row r="72" spans="1:14" ht="15.6">
      <c r="A72" s="1" t="s">
        <v>255</v>
      </c>
      <c r="B72" s="97" t="s">
        <v>174</v>
      </c>
      <c r="C72" s="97"/>
      <c r="D72" s="101">
        <v>50</v>
      </c>
      <c r="E72" s="101">
        <v>16.216699999999999</v>
      </c>
      <c r="F72" s="7">
        <v>2022</v>
      </c>
      <c r="G72" s="7">
        <v>5</v>
      </c>
      <c r="H72" s="7">
        <v>26</v>
      </c>
      <c r="I72" s="109">
        <v>8477</v>
      </c>
      <c r="J72" s="8"/>
      <c r="K72" s="8"/>
      <c r="L72" s="8"/>
      <c r="M72" s="11"/>
      <c r="N72" s="11"/>
    </row>
    <row r="73" spans="1:14" ht="15.6">
      <c r="A73" s="1" t="s">
        <v>256</v>
      </c>
      <c r="B73" s="97" t="s">
        <v>269</v>
      </c>
      <c r="C73" s="97"/>
      <c r="D73" s="101">
        <v>48.906500000000001</v>
      </c>
      <c r="E73" s="101">
        <v>13.8865</v>
      </c>
      <c r="F73" s="7">
        <v>2022</v>
      </c>
      <c r="G73" s="7">
        <v>6</v>
      </c>
      <c r="H73" s="7">
        <v>23</v>
      </c>
      <c r="I73" s="103">
        <v>3712</v>
      </c>
      <c r="J73" s="8"/>
      <c r="K73" s="8"/>
      <c r="L73" s="8"/>
      <c r="M73" s="11" t="s">
        <v>13</v>
      </c>
      <c r="N73" s="11"/>
    </row>
    <row r="74" spans="1:14" ht="15.6">
      <c r="A74" s="1" t="s">
        <v>257</v>
      </c>
      <c r="B74" s="97" t="s">
        <v>269</v>
      </c>
      <c r="C74" s="97"/>
      <c r="D74" s="101">
        <v>48.906500000000001</v>
      </c>
      <c r="E74" s="101">
        <v>13.8865</v>
      </c>
      <c r="F74" s="7">
        <v>2022</v>
      </c>
      <c r="G74" s="7">
        <v>6</v>
      </c>
      <c r="H74" s="7">
        <v>24</v>
      </c>
      <c r="I74" s="103">
        <v>3712</v>
      </c>
      <c r="J74" s="8"/>
      <c r="K74" s="8"/>
      <c r="L74" s="8"/>
      <c r="M74" s="11" t="s">
        <v>14</v>
      </c>
      <c r="N74" s="11"/>
    </row>
    <row r="75" spans="1:14" ht="15.6">
      <c r="A75" s="1" t="s">
        <v>258</v>
      </c>
      <c r="B75" s="97" t="s">
        <v>270</v>
      </c>
      <c r="C75" s="97"/>
      <c r="D75" s="102"/>
      <c r="E75" s="102"/>
      <c r="F75" s="7">
        <v>2022</v>
      </c>
      <c r="G75" s="7">
        <v>8</v>
      </c>
      <c r="H75" s="7">
        <v>18</v>
      </c>
      <c r="I75" s="110"/>
      <c r="J75" s="8"/>
      <c r="K75" s="8"/>
      <c r="L75" s="8"/>
      <c r="M75" s="11"/>
      <c r="N75" s="11"/>
    </row>
    <row r="76" spans="1:14" ht="15.6">
      <c r="A76" s="1" t="s">
        <v>259</v>
      </c>
      <c r="B76" s="97" t="s">
        <v>271</v>
      </c>
      <c r="C76" s="97"/>
      <c r="D76" s="101">
        <v>48.767800000000001</v>
      </c>
      <c r="E76" s="101">
        <v>14.966699999999999</v>
      </c>
      <c r="F76" s="7">
        <v>2022</v>
      </c>
      <c r="G76" s="7">
        <v>8</v>
      </c>
      <c r="H76" s="7">
        <v>25</v>
      </c>
      <c r="I76" s="109">
        <v>3439</v>
      </c>
      <c r="J76" s="8"/>
      <c r="K76" s="8"/>
      <c r="L76" s="8"/>
      <c r="M76" s="11" t="s">
        <v>13</v>
      </c>
      <c r="N76" s="11"/>
    </row>
    <row r="77" spans="1:14" ht="15.6">
      <c r="A77" s="1" t="s">
        <v>260</v>
      </c>
      <c r="B77" s="97" t="s">
        <v>271</v>
      </c>
      <c r="C77" s="97"/>
      <c r="D77" s="101">
        <v>48.767800000000001</v>
      </c>
      <c r="E77" s="101">
        <v>14.966699999999999</v>
      </c>
      <c r="F77" s="7">
        <v>2022</v>
      </c>
      <c r="G77" s="2">
        <v>8</v>
      </c>
      <c r="H77" s="2">
        <v>25</v>
      </c>
      <c r="I77" s="109">
        <v>3439</v>
      </c>
      <c r="J77" s="8"/>
      <c r="K77" s="8"/>
      <c r="L77" s="8"/>
      <c r="M77" s="11" t="s">
        <v>14</v>
      </c>
      <c r="N77" s="11"/>
    </row>
    <row r="78" spans="1:14" ht="15.6">
      <c r="A78" s="1" t="s">
        <v>261</v>
      </c>
      <c r="B78" s="97" t="s">
        <v>272</v>
      </c>
      <c r="C78" s="97"/>
      <c r="D78" s="102"/>
      <c r="E78" s="102"/>
      <c r="F78" s="7">
        <v>2022</v>
      </c>
      <c r="G78" s="7">
        <v>9</v>
      </c>
      <c r="H78" s="7">
        <v>8</v>
      </c>
      <c r="I78" s="110"/>
      <c r="J78" s="8"/>
      <c r="K78" s="8"/>
      <c r="L78" s="8"/>
      <c r="M78" s="11"/>
      <c r="N78" s="11"/>
    </row>
    <row r="79" spans="1:14" ht="15.6">
      <c r="A79" s="1" t="s">
        <v>262</v>
      </c>
      <c r="B79" s="97" t="s">
        <v>273</v>
      </c>
      <c r="C79" s="97"/>
      <c r="D79" s="101">
        <v>48.973999999999997</v>
      </c>
      <c r="E79" s="101">
        <v>14.474</v>
      </c>
      <c r="F79" s="7">
        <v>2022</v>
      </c>
      <c r="G79" s="7">
        <v>9</v>
      </c>
      <c r="H79" s="7">
        <v>27</v>
      </c>
      <c r="I79" s="109">
        <v>93426</v>
      </c>
      <c r="J79" s="8"/>
      <c r="K79" s="8"/>
      <c r="L79" s="8"/>
      <c r="M79" s="11" t="s">
        <v>14</v>
      </c>
      <c r="N79" s="11"/>
    </row>
    <row r="80" spans="1:14" ht="15.6">
      <c r="A80" s="1" t="s">
        <v>263</v>
      </c>
      <c r="B80" s="97" t="s">
        <v>274</v>
      </c>
      <c r="C80" s="97"/>
      <c r="D80" s="102"/>
      <c r="E80" s="111"/>
      <c r="F80" s="7">
        <v>2022</v>
      </c>
      <c r="G80" s="7">
        <v>10</v>
      </c>
      <c r="H80" s="7">
        <v>27</v>
      </c>
      <c r="I80" s="110"/>
      <c r="J80" s="8"/>
      <c r="K80" s="8"/>
      <c r="L80" s="8"/>
      <c r="M80" s="11"/>
      <c r="N80" s="11"/>
    </row>
    <row r="81" spans="1:14" ht="15.6">
      <c r="A81" s="1" t="s">
        <v>264</v>
      </c>
      <c r="B81" s="97" t="s">
        <v>275</v>
      </c>
      <c r="C81" s="97"/>
      <c r="D81" s="101">
        <v>49.972999999999999</v>
      </c>
      <c r="E81" s="101">
        <v>16.393899999999999</v>
      </c>
      <c r="F81" s="7">
        <v>2022</v>
      </c>
      <c r="G81" s="7">
        <v>4</v>
      </c>
      <c r="H81" s="7">
        <v>11</v>
      </c>
      <c r="I81" s="109">
        <v>13936</v>
      </c>
      <c r="J81" s="8"/>
      <c r="K81" s="8"/>
      <c r="L81" s="8"/>
      <c r="M81" s="11"/>
      <c r="N81" s="11"/>
    </row>
    <row r="82" spans="1:14" ht="15.6">
      <c r="A82" s="1" t="s">
        <v>265</v>
      </c>
      <c r="B82" s="97" t="s">
        <v>276</v>
      </c>
      <c r="C82" s="97"/>
      <c r="D82" s="101">
        <v>49.3</v>
      </c>
      <c r="E82" s="101">
        <v>15.083299999999999</v>
      </c>
      <c r="F82" s="7">
        <v>2022</v>
      </c>
      <c r="G82" s="7">
        <v>12</v>
      </c>
      <c r="H82" s="7">
        <v>21</v>
      </c>
      <c r="I82" s="109">
        <v>3634</v>
      </c>
      <c r="J82" s="8"/>
      <c r="K82" s="8"/>
      <c r="L82" s="8"/>
      <c r="M82" s="11" t="s">
        <v>13</v>
      </c>
      <c r="N82" s="11"/>
    </row>
    <row r="83" spans="1:14" ht="15.6">
      <c r="A83" s="1" t="s">
        <v>266</v>
      </c>
      <c r="B83" s="97" t="s">
        <v>276</v>
      </c>
      <c r="C83" s="97"/>
      <c r="D83" s="101">
        <v>49.3</v>
      </c>
      <c r="E83" s="101">
        <v>15.083299999999999</v>
      </c>
      <c r="F83" s="7">
        <v>2022</v>
      </c>
      <c r="G83" s="7">
        <v>12</v>
      </c>
      <c r="H83" s="7">
        <v>21</v>
      </c>
      <c r="I83" s="109">
        <v>3634</v>
      </c>
      <c r="J83" s="8"/>
      <c r="K83" s="8"/>
      <c r="L83" s="8"/>
      <c r="M83" s="11" t="s">
        <v>14</v>
      </c>
      <c r="N83" s="11"/>
    </row>
    <row r="84" spans="1:14" ht="15.6">
      <c r="A84" s="1" t="s">
        <v>267</v>
      </c>
      <c r="B84" s="97" t="s">
        <v>277</v>
      </c>
      <c r="C84" s="97"/>
      <c r="D84" s="101">
        <v>48.720599999999997</v>
      </c>
      <c r="E84" s="101">
        <v>14.757099999999999</v>
      </c>
      <c r="F84" s="7">
        <v>2022</v>
      </c>
      <c r="G84" s="7">
        <v>12</v>
      </c>
      <c r="H84" s="7">
        <v>22</v>
      </c>
      <c r="I84" s="109">
        <v>1470</v>
      </c>
      <c r="J84" s="8"/>
      <c r="K84" s="8"/>
      <c r="L84" s="8"/>
      <c r="M84" s="11" t="s">
        <v>13</v>
      </c>
      <c r="N84" s="11"/>
    </row>
    <row r="85" spans="1:14" ht="15.6">
      <c r="A85" s="1" t="s">
        <v>268</v>
      </c>
      <c r="B85" s="97" t="s">
        <v>277</v>
      </c>
      <c r="C85" s="97"/>
      <c r="D85" s="101">
        <v>48.720599999999997</v>
      </c>
      <c r="E85" s="101">
        <v>14.757099999999999</v>
      </c>
      <c r="F85" s="7">
        <v>2022</v>
      </c>
      <c r="G85" s="7">
        <v>12</v>
      </c>
      <c r="H85" s="7">
        <v>22</v>
      </c>
      <c r="I85" s="109">
        <v>1470</v>
      </c>
      <c r="J85" s="8"/>
      <c r="K85" s="8"/>
      <c r="L85" s="8"/>
      <c r="M85" s="11" t="s">
        <v>14</v>
      </c>
      <c r="N85" s="11"/>
    </row>
    <row r="86" spans="1:14" ht="15.6">
      <c r="A86" s="1" t="s">
        <v>279</v>
      </c>
      <c r="B86" s="97" t="s">
        <v>19</v>
      </c>
      <c r="C86" s="97"/>
      <c r="D86" s="101">
        <v>50.626300000000001</v>
      </c>
      <c r="E86" s="101">
        <v>15.610799999999999</v>
      </c>
      <c r="F86" s="7">
        <v>2023</v>
      </c>
      <c r="G86" s="7">
        <v>12</v>
      </c>
      <c r="H86" s="2">
        <v>13</v>
      </c>
      <c r="I86" s="58">
        <v>11968</v>
      </c>
      <c r="M86" s="6" t="s">
        <v>14</v>
      </c>
      <c r="N86" s="11"/>
    </row>
    <row r="87" spans="1:14" ht="15.6">
      <c r="A87" s="1" t="s">
        <v>280</v>
      </c>
      <c r="B87" s="97" t="s">
        <v>19</v>
      </c>
      <c r="C87" s="97"/>
      <c r="D87" s="101">
        <v>50.626300000000001</v>
      </c>
      <c r="E87" s="101">
        <v>15.610799999999999</v>
      </c>
      <c r="F87" s="7">
        <v>2023</v>
      </c>
      <c r="G87" s="7">
        <v>12</v>
      </c>
      <c r="H87" s="2">
        <v>13</v>
      </c>
      <c r="I87" s="58">
        <v>11968</v>
      </c>
      <c r="M87" s="6" t="s">
        <v>13</v>
      </c>
      <c r="N87" s="11"/>
    </row>
    <row r="88" spans="1:14" ht="15.6">
      <c r="A88" s="1" t="s">
        <v>281</v>
      </c>
      <c r="B88" s="97" t="s">
        <v>20</v>
      </c>
      <c r="C88" s="97"/>
      <c r="D88" s="101">
        <v>48.738300000000002</v>
      </c>
      <c r="E88" s="101">
        <v>14.491300000000001</v>
      </c>
      <c r="F88" s="7">
        <v>2023</v>
      </c>
      <c r="G88" s="7">
        <v>11</v>
      </c>
      <c r="H88" s="2">
        <v>8</v>
      </c>
      <c r="I88" s="58">
        <v>6984</v>
      </c>
      <c r="M88" s="6" t="s">
        <v>13</v>
      </c>
      <c r="N88" s="11"/>
    </row>
    <row r="89" spans="1:14" ht="15.6">
      <c r="A89" s="1" t="s">
        <v>282</v>
      </c>
      <c r="B89" s="97" t="s">
        <v>20</v>
      </c>
      <c r="C89" s="97"/>
      <c r="D89" s="101">
        <v>48.738300000000002</v>
      </c>
      <c r="E89" s="101">
        <v>14.491300000000001</v>
      </c>
      <c r="F89" s="7">
        <v>2023</v>
      </c>
      <c r="G89" s="7">
        <v>11</v>
      </c>
      <c r="H89" s="2">
        <v>8</v>
      </c>
      <c r="I89" s="58">
        <v>6984</v>
      </c>
      <c r="M89" s="6" t="s">
        <v>14</v>
      </c>
      <c r="N89" s="11"/>
    </row>
    <row r="90" spans="1:14" ht="15.6">
      <c r="A90" s="1" t="s">
        <v>283</v>
      </c>
      <c r="B90" s="97" t="s">
        <v>21</v>
      </c>
      <c r="C90" s="97"/>
      <c r="D90" s="101">
        <v>49.640099999999997</v>
      </c>
      <c r="E90" s="101">
        <v>14.640599999999999</v>
      </c>
      <c r="F90" s="7">
        <v>2023</v>
      </c>
      <c r="G90" s="7">
        <v>10</v>
      </c>
      <c r="H90" s="2">
        <v>26</v>
      </c>
      <c r="I90" s="58">
        <v>4495</v>
      </c>
      <c r="M90" s="6" t="s">
        <v>14</v>
      </c>
      <c r="N90" s="11"/>
    </row>
    <row r="91" spans="1:14" ht="15.6">
      <c r="A91" s="1" t="s">
        <v>284</v>
      </c>
      <c r="B91" s="97" t="s">
        <v>21</v>
      </c>
      <c r="C91" s="97"/>
      <c r="D91" s="101">
        <v>49.640099999999997</v>
      </c>
      <c r="E91" s="101">
        <v>14.640599999999999</v>
      </c>
      <c r="F91" s="7">
        <v>2023</v>
      </c>
      <c r="G91" s="7">
        <v>10</v>
      </c>
      <c r="H91" s="2">
        <v>26</v>
      </c>
      <c r="I91" s="58">
        <v>4495</v>
      </c>
      <c r="M91" s="6" t="s">
        <v>13</v>
      </c>
      <c r="N91" s="11"/>
    </row>
    <row r="92" spans="1:14" ht="15.6">
      <c r="A92" s="1" t="s">
        <v>285</v>
      </c>
      <c r="B92" s="97" t="s">
        <v>22</v>
      </c>
      <c r="C92" s="97"/>
      <c r="D92" s="101">
        <v>49.95</v>
      </c>
      <c r="E92" s="101">
        <v>15.666700000000001</v>
      </c>
      <c r="F92" s="7">
        <v>2023</v>
      </c>
      <c r="G92" s="7">
        <v>10</v>
      </c>
      <c r="H92" s="2">
        <v>19</v>
      </c>
      <c r="I92" s="58">
        <v>4721</v>
      </c>
      <c r="M92" s="6" t="s">
        <v>14</v>
      </c>
      <c r="N92" s="11"/>
    </row>
    <row r="93" spans="1:14" ht="15.6">
      <c r="A93" s="1" t="s">
        <v>286</v>
      </c>
      <c r="B93" s="97" t="s">
        <v>22</v>
      </c>
      <c r="C93" s="97"/>
      <c r="D93" s="101">
        <v>49.95</v>
      </c>
      <c r="E93" s="101">
        <v>15.666700000000001</v>
      </c>
      <c r="F93" s="7">
        <v>2023</v>
      </c>
      <c r="G93" s="7">
        <v>10</v>
      </c>
      <c r="H93" s="2">
        <v>19</v>
      </c>
      <c r="I93" s="58">
        <v>4721</v>
      </c>
      <c r="M93" s="6" t="s">
        <v>13</v>
      </c>
      <c r="N93" s="11"/>
    </row>
    <row r="94" spans="1:14" ht="15.6">
      <c r="A94" s="1" t="s">
        <v>287</v>
      </c>
      <c r="B94" s="97" t="s">
        <v>23</v>
      </c>
      <c r="C94" s="97"/>
      <c r="D94" s="101">
        <v>49.966700000000003</v>
      </c>
      <c r="E94" s="101">
        <v>14.333299999999999</v>
      </c>
      <c r="F94" s="7">
        <v>2023</v>
      </c>
      <c r="G94" s="7">
        <v>9</v>
      </c>
      <c r="H94" s="2">
        <v>21</v>
      </c>
      <c r="I94" s="58">
        <v>7329</v>
      </c>
      <c r="M94" s="6" t="s">
        <v>14</v>
      </c>
      <c r="N94" s="11"/>
    </row>
    <row r="95" spans="1:14" ht="15.6">
      <c r="A95" s="1" t="s">
        <v>288</v>
      </c>
      <c r="B95" s="97" t="s">
        <v>23</v>
      </c>
      <c r="C95" s="97"/>
      <c r="D95" s="101">
        <v>49.966700000000003</v>
      </c>
      <c r="E95" s="101">
        <v>14.333299999999999</v>
      </c>
      <c r="F95" s="7">
        <v>2023</v>
      </c>
      <c r="G95" s="7">
        <v>9</v>
      </c>
      <c r="H95" s="2">
        <v>21</v>
      </c>
      <c r="I95" s="58">
        <v>7329</v>
      </c>
      <c r="M95" s="6" t="s">
        <v>24</v>
      </c>
      <c r="N95" s="11"/>
    </row>
    <row r="96" spans="1:14" ht="15.6">
      <c r="A96" s="1" t="s">
        <v>289</v>
      </c>
      <c r="B96" s="97" t="s">
        <v>23</v>
      </c>
      <c r="C96" s="97"/>
      <c r="D96" s="101">
        <v>49.966700000000003</v>
      </c>
      <c r="E96" s="101">
        <v>14.333299999999999</v>
      </c>
      <c r="F96" s="7">
        <v>2023</v>
      </c>
      <c r="G96" s="7">
        <v>9</v>
      </c>
      <c r="H96" s="2">
        <v>21</v>
      </c>
      <c r="I96" s="58">
        <v>7329</v>
      </c>
      <c r="M96" s="6" t="s">
        <v>13</v>
      </c>
      <c r="N96" s="11"/>
    </row>
    <row r="97" spans="1:17" ht="15.6">
      <c r="A97" s="1" t="s">
        <v>290</v>
      </c>
      <c r="B97" s="97" t="s">
        <v>25</v>
      </c>
      <c r="C97" s="97"/>
      <c r="D97" s="101">
        <v>50.083300000000001</v>
      </c>
      <c r="E97" s="101">
        <v>14.05</v>
      </c>
      <c r="F97" s="7">
        <v>2023</v>
      </c>
      <c r="G97" s="7">
        <v>6</v>
      </c>
      <c r="H97" s="2">
        <v>7</v>
      </c>
      <c r="I97" s="58">
        <v>492</v>
      </c>
      <c r="M97" s="6" t="s">
        <v>14</v>
      </c>
      <c r="N97" s="11"/>
    </row>
    <row r="98" spans="1:17" ht="15.6">
      <c r="A98" s="1" t="s">
        <v>291</v>
      </c>
      <c r="B98" s="97" t="s">
        <v>26</v>
      </c>
      <c r="C98" s="97"/>
      <c r="D98" s="101">
        <v>49.868099999999998</v>
      </c>
      <c r="E98" s="101">
        <v>16.3127</v>
      </c>
      <c r="F98" s="7">
        <v>2023</v>
      </c>
      <c r="G98" s="7">
        <v>4</v>
      </c>
      <c r="H98" s="2">
        <v>20</v>
      </c>
      <c r="I98" s="58">
        <v>9914</v>
      </c>
      <c r="M98" s="6" t="s">
        <v>13</v>
      </c>
      <c r="N98" s="11"/>
      <c r="O98" s="84" t="s">
        <v>295</v>
      </c>
      <c r="P98" s="85"/>
      <c r="Q98" s="18"/>
    </row>
    <row r="99" spans="1:17" ht="15.6">
      <c r="A99" s="1" t="s">
        <v>292</v>
      </c>
      <c r="B99" s="97" t="s">
        <v>27</v>
      </c>
      <c r="C99" s="97"/>
      <c r="D99" s="101">
        <v>49.521299999999997</v>
      </c>
      <c r="E99" s="101">
        <v>18.237200000000001</v>
      </c>
      <c r="F99" s="7">
        <v>2023</v>
      </c>
      <c r="G99" s="7">
        <v>3</v>
      </c>
      <c r="H99" s="2">
        <v>23</v>
      </c>
      <c r="I99" s="58">
        <v>2698</v>
      </c>
      <c r="M99" s="6" t="s">
        <v>14</v>
      </c>
      <c r="N99" s="11"/>
      <c r="O99" s="18"/>
      <c r="P99" s="18"/>
      <c r="Q99" s="18"/>
    </row>
    <row r="100" spans="1:17" ht="15.6">
      <c r="A100" s="1" t="s">
        <v>293</v>
      </c>
      <c r="B100" s="97" t="s">
        <v>27</v>
      </c>
      <c r="C100" s="97"/>
      <c r="D100" s="101">
        <v>49.521299999999997</v>
      </c>
      <c r="E100" s="101">
        <v>18.237200000000001</v>
      </c>
      <c r="F100" s="7">
        <v>2023</v>
      </c>
      <c r="G100" s="7">
        <v>3</v>
      </c>
      <c r="H100" s="2">
        <v>23</v>
      </c>
      <c r="I100" s="58">
        <v>2698</v>
      </c>
      <c r="M100" s="6" t="s">
        <v>13</v>
      </c>
      <c r="N100" s="11"/>
      <c r="O100" s="18"/>
      <c r="P100" s="18"/>
      <c r="Q100" s="18"/>
    </row>
    <row r="101" spans="1:17" ht="15.6">
      <c r="A101" s="1" t="s">
        <v>294</v>
      </c>
      <c r="B101" s="97" t="s">
        <v>27</v>
      </c>
      <c r="C101" s="97"/>
      <c r="D101" s="101">
        <v>49.521299999999997</v>
      </c>
      <c r="E101" s="101">
        <v>18.237200000000001</v>
      </c>
      <c r="F101" s="7">
        <v>2023</v>
      </c>
      <c r="G101" s="7">
        <v>3</v>
      </c>
      <c r="H101" s="2">
        <v>23</v>
      </c>
      <c r="I101" s="58">
        <v>2698</v>
      </c>
      <c r="M101" s="6" t="s">
        <v>24</v>
      </c>
      <c r="N101" s="11"/>
      <c r="O101" s="18"/>
      <c r="P101" s="18"/>
      <c r="Q101" s="18"/>
    </row>
    <row r="102" spans="1:17" ht="15.6">
      <c r="A102" s="1" t="s">
        <v>41</v>
      </c>
      <c r="B102" s="97" t="s">
        <v>28</v>
      </c>
      <c r="C102" s="97"/>
      <c r="D102" s="101">
        <v>49.0854</v>
      </c>
      <c r="E102" s="101">
        <v>14.720700000000001</v>
      </c>
      <c r="F102" s="7">
        <v>2023</v>
      </c>
      <c r="G102" s="7">
        <v>3</v>
      </c>
      <c r="H102" s="2">
        <v>9</v>
      </c>
      <c r="I102" s="58">
        <v>1780</v>
      </c>
      <c r="M102" s="6" t="s">
        <v>13</v>
      </c>
      <c r="N102" s="11"/>
      <c r="O102" s="86" t="s">
        <v>296</v>
      </c>
      <c r="P102" s="85"/>
      <c r="Q102" s="18"/>
    </row>
    <row r="103" spans="1:17">
      <c r="A103" s="1" t="s">
        <v>42</v>
      </c>
      <c r="B103" s="97" t="s">
        <v>305</v>
      </c>
      <c r="C103" s="97"/>
      <c r="D103" s="101">
        <v>49.169400000000003</v>
      </c>
      <c r="E103" s="101">
        <v>17.509699999999999</v>
      </c>
      <c r="F103" s="2">
        <v>2024</v>
      </c>
      <c r="G103" s="2">
        <v>10</v>
      </c>
      <c r="H103" s="2">
        <v>21</v>
      </c>
      <c r="I103" s="58">
        <v>7074</v>
      </c>
      <c r="M103" s="1" t="s">
        <v>14</v>
      </c>
      <c r="O103" s="18"/>
      <c r="P103" s="18"/>
      <c r="Q103" s="18"/>
    </row>
    <row r="104" spans="1:17">
      <c r="A104" s="1" t="s">
        <v>43</v>
      </c>
      <c r="B104" s="97" t="s">
        <v>305</v>
      </c>
      <c r="C104" s="97"/>
      <c r="D104" s="101">
        <v>49.169400000000003</v>
      </c>
      <c r="E104" s="101">
        <v>17.509699999999999</v>
      </c>
      <c r="F104" s="2">
        <v>2024</v>
      </c>
      <c r="G104" s="2">
        <v>10</v>
      </c>
      <c r="H104" s="2">
        <v>21</v>
      </c>
      <c r="I104" s="58">
        <v>7074</v>
      </c>
      <c r="M104" s="1" t="s">
        <v>13</v>
      </c>
      <c r="O104" s="18"/>
      <c r="P104" s="18"/>
      <c r="Q104" s="18"/>
    </row>
    <row r="105" spans="1:17">
      <c r="A105" s="1" t="s">
        <v>44</v>
      </c>
      <c r="B105" s="97" t="s">
        <v>306</v>
      </c>
      <c r="C105" s="97"/>
      <c r="D105" s="101">
        <v>50.2</v>
      </c>
      <c r="E105" s="101">
        <v>14.35</v>
      </c>
      <c r="F105" s="2">
        <v>2024</v>
      </c>
      <c r="G105" s="2">
        <v>10</v>
      </c>
      <c r="H105" s="2">
        <v>8</v>
      </c>
      <c r="I105" s="58">
        <v>3456</v>
      </c>
      <c r="O105" s="84" t="s">
        <v>312</v>
      </c>
      <c r="P105" s="85"/>
      <c r="Q105" s="18"/>
    </row>
    <row r="106" spans="1:17">
      <c r="A106" s="1" t="s">
        <v>45</v>
      </c>
      <c r="B106" s="97" t="s">
        <v>306</v>
      </c>
      <c r="C106" s="97"/>
      <c r="D106" s="101">
        <v>50.2</v>
      </c>
      <c r="E106" s="101">
        <v>14.35</v>
      </c>
      <c r="F106" s="2">
        <v>2024</v>
      </c>
      <c r="G106" s="2">
        <v>10</v>
      </c>
      <c r="H106" s="2">
        <v>8</v>
      </c>
      <c r="I106" s="58">
        <v>3456</v>
      </c>
      <c r="O106" s="18" t="s">
        <v>313</v>
      </c>
      <c r="P106" s="18"/>
      <c r="Q106" s="18"/>
    </row>
    <row r="107" spans="1:17">
      <c r="A107" s="1" t="s">
        <v>46</v>
      </c>
      <c r="B107" s="97" t="s">
        <v>306</v>
      </c>
      <c r="C107" s="97"/>
      <c r="D107" s="101">
        <v>50.2</v>
      </c>
      <c r="E107" s="101">
        <v>14.35</v>
      </c>
      <c r="F107" s="2">
        <v>2024</v>
      </c>
      <c r="G107" s="2">
        <v>10</v>
      </c>
      <c r="H107" s="2">
        <v>8</v>
      </c>
      <c r="I107" s="58">
        <v>3456</v>
      </c>
      <c r="O107" s="84" t="s">
        <v>314</v>
      </c>
      <c r="P107" s="85"/>
      <c r="Q107" s="18"/>
    </row>
    <row r="108" spans="1:17">
      <c r="A108" s="1" t="s">
        <v>47</v>
      </c>
      <c r="B108" s="97" t="s">
        <v>307</v>
      </c>
      <c r="C108" s="97"/>
      <c r="D108" s="101">
        <v>50.603200000000001</v>
      </c>
      <c r="E108" s="101">
        <v>13.7494</v>
      </c>
      <c r="F108" s="2">
        <v>2024</v>
      </c>
      <c r="G108" s="2">
        <v>6</v>
      </c>
      <c r="H108" s="2">
        <v>25</v>
      </c>
      <c r="I108" s="58">
        <v>8589</v>
      </c>
      <c r="M108" s="1" t="s">
        <v>13</v>
      </c>
    </row>
    <row r="109" spans="1:17">
      <c r="A109" s="1" t="s">
        <v>48</v>
      </c>
      <c r="B109" s="97" t="s">
        <v>308</v>
      </c>
      <c r="C109" s="97"/>
      <c r="D109" s="101">
        <v>48.940399999999997</v>
      </c>
      <c r="E109" s="101">
        <v>16.737400000000001</v>
      </c>
      <c r="F109" s="2">
        <v>2024</v>
      </c>
      <c r="G109" s="2">
        <v>4</v>
      </c>
      <c r="H109" s="2">
        <v>29</v>
      </c>
      <c r="I109" s="58">
        <v>5998</v>
      </c>
      <c r="M109" s="1" t="s">
        <v>14</v>
      </c>
    </row>
    <row r="110" spans="1:17">
      <c r="A110" s="1" t="s">
        <v>49</v>
      </c>
      <c r="B110" s="97" t="s">
        <v>308</v>
      </c>
      <c r="C110" s="97"/>
      <c r="D110" s="101">
        <v>48.940399999999997</v>
      </c>
      <c r="E110" s="101">
        <v>16.737400000000001</v>
      </c>
      <c r="F110" s="2">
        <v>2024</v>
      </c>
      <c r="G110" s="2">
        <v>4</v>
      </c>
      <c r="H110" s="2">
        <v>29</v>
      </c>
      <c r="I110" s="58">
        <v>5998</v>
      </c>
      <c r="M110" s="1" t="s">
        <v>13</v>
      </c>
    </row>
    <row r="111" spans="1:17">
      <c r="A111" s="1" t="s">
        <v>50</v>
      </c>
      <c r="B111" s="97" t="s">
        <v>309</v>
      </c>
      <c r="C111" s="97"/>
      <c r="D111" s="102"/>
      <c r="E111" s="102"/>
      <c r="F111" s="2">
        <v>2024</v>
      </c>
      <c r="G111" s="2">
        <v>4</v>
      </c>
      <c r="H111" s="2">
        <v>25</v>
      </c>
      <c r="I111" s="112"/>
      <c r="M111" s="1" t="s">
        <v>13</v>
      </c>
    </row>
    <row r="112" spans="1:17">
      <c r="A112" s="1" t="s">
        <v>51</v>
      </c>
      <c r="B112" s="97" t="s">
        <v>310</v>
      </c>
      <c r="C112" s="97"/>
      <c r="D112" s="101">
        <v>49.912799999999997</v>
      </c>
      <c r="E112" s="101">
        <v>16.611999999999998</v>
      </c>
      <c r="F112" s="2">
        <v>2024</v>
      </c>
      <c r="G112" s="2">
        <v>4</v>
      </c>
      <c r="H112" s="2">
        <v>19</v>
      </c>
      <c r="I112" s="58">
        <v>9326</v>
      </c>
      <c r="M112" s="1" t="s">
        <v>14</v>
      </c>
    </row>
    <row r="113" spans="1:13">
      <c r="A113" s="1" t="s">
        <v>52</v>
      </c>
      <c r="B113" s="97" t="s">
        <v>310</v>
      </c>
      <c r="C113" s="97"/>
      <c r="D113" s="101">
        <v>49.912799999999997</v>
      </c>
      <c r="E113" s="101">
        <v>16.611999999999998</v>
      </c>
      <c r="F113" s="2">
        <v>2024</v>
      </c>
      <c r="G113" s="2">
        <v>4</v>
      </c>
      <c r="H113" s="2">
        <v>19</v>
      </c>
      <c r="I113" s="58">
        <v>9326</v>
      </c>
      <c r="M113" s="1" t="s">
        <v>13</v>
      </c>
    </row>
    <row r="114" spans="1:13">
      <c r="A114" s="1" t="s">
        <v>53</v>
      </c>
      <c r="B114" s="97" t="s">
        <v>311</v>
      </c>
      <c r="C114" s="97"/>
      <c r="D114" s="101">
        <v>50.230200000000004</v>
      </c>
      <c r="E114" s="101">
        <v>14.0876</v>
      </c>
      <c r="F114" s="2">
        <v>2024</v>
      </c>
      <c r="G114" s="2">
        <v>3</v>
      </c>
      <c r="H114" s="2">
        <v>28</v>
      </c>
      <c r="I114" s="58">
        <v>16557</v>
      </c>
      <c r="M114" s="1" t="s">
        <v>14</v>
      </c>
    </row>
    <row r="115" spans="1:13">
      <c r="A115" s="1" t="s">
        <v>54</v>
      </c>
      <c r="B115" s="97" t="s">
        <v>311</v>
      </c>
      <c r="C115" s="97"/>
      <c r="D115" s="101">
        <v>50.230200000000004</v>
      </c>
      <c r="E115" s="101">
        <v>14.0876</v>
      </c>
      <c r="F115" s="2">
        <v>2024</v>
      </c>
      <c r="G115" s="2">
        <v>3</v>
      </c>
      <c r="H115" s="2">
        <v>28</v>
      </c>
      <c r="I115" s="58">
        <v>16557</v>
      </c>
      <c r="M115" s="1" t="s">
        <v>13</v>
      </c>
    </row>
  </sheetData>
  <pageMargins left="0.7" right="0.7" top="0.78749999999999998" bottom="0.78749999999999998" header="0.511811023622047" footer="0.511811023622047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operator="equal" allowBlank="1" showErrorMessage="1" xr:uid="{00000000-0002-0000-0000-000000000000}">
          <x14:formula1>
            <xm:f>volby!$D$3:$D$4</xm:f>
          </x14:formula1>
          <x14:formula2>
            <xm:f>0</xm:f>
          </x14:formula2>
          <xm:sqref>L62:L85</xm:sqref>
        </x14:dataValidation>
        <x14:dataValidation type="list" operator="equal" showInputMessage="1" showErrorMessage="1" promptTitle="vyber" xr:uid="{00000000-0002-0000-0000-000001000000}">
          <x14:formula1>
            <xm:f>volby!$B$3:$B$5</xm:f>
          </x14:formula1>
          <x14:formula2>
            <xm:f>0</xm:f>
          </x14:formula2>
          <xm:sqref>J62</xm:sqref>
        </x14:dataValidation>
        <x14:dataValidation type="list" operator="equal" showErrorMessage="1" xr:uid="{00000000-0002-0000-0000-000002000000}">
          <x14:formula1>
            <xm:f>volby!$B$3:$B$5</xm:f>
          </x14:formula1>
          <x14:formula2>
            <xm:f>0</xm:f>
          </x14:formula2>
          <xm:sqref>J63:J85</xm:sqref>
        </x14:dataValidation>
        <x14:dataValidation type="list" operator="equal" showErrorMessage="1" xr:uid="{00000000-0002-0000-0000-000003000000}">
          <x14:formula1>
            <xm:f>volby!$C$3:$C$5</xm:f>
          </x14:formula1>
          <x14:formula2>
            <xm:f>0</xm:f>
          </x14:formula2>
          <xm:sqref>K62</xm:sqref>
        </x14:dataValidation>
        <x14:dataValidation type="list" operator="equal" allowBlank="1" showErrorMessage="1" xr:uid="{00000000-0002-0000-0000-000004000000}">
          <x14:formula1>
            <xm:f>volby!$C$3:$C$5</xm:f>
          </x14:formula1>
          <x14:formula2>
            <xm:f>0</xm:f>
          </x14:formula2>
          <xm:sqref>K63:K85</xm:sqref>
        </x14:dataValidation>
        <x14:dataValidation type="list" allowBlank="1" showInputMessage="1" showErrorMessage="1" xr:uid="{00000000-0002-0000-0000-000005000000}">
          <x14:formula1>
            <xm:f>volby!$F$3:$F$6</xm:f>
          </x14:formula1>
          <x14:formula2>
            <xm:f>0</xm:f>
          </x14:formula2>
          <xm:sqref>N62:N263 M10:M263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1"/>
  <sheetViews>
    <sheetView zoomScaleNormal="100" workbookViewId="0">
      <selection activeCell="C19" sqref="C19"/>
    </sheetView>
  </sheetViews>
  <sheetFormatPr defaultColWidth="8.6640625" defaultRowHeight="14.4"/>
  <cols>
    <col min="1" max="1" width="8.88671875" style="88" customWidth="1"/>
    <col min="2" max="2" width="45" style="88" customWidth="1"/>
    <col min="3" max="3" width="22.6640625" style="88" bestFit="1" customWidth="1"/>
    <col min="4" max="4" width="16.6640625" customWidth="1"/>
    <col min="5" max="5" width="17.77734375" customWidth="1"/>
  </cols>
  <sheetData>
    <row r="1" spans="1:7" ht="14.4" customHeight="1">
      <c r="A1" s="91" t="s">
        <v>29</v>
      </c>
      <c r="B1" s="91" t="s">
        <v>324</v>
      </c>
      <c r="C1" s="91" t="s">
        <v>323</v>
      </c>
      <c r="D1" s="92"/>
      <c r="E1" s="21"/>
      <c r="F1" s="21"/>
      <c r="G1" s="21"/>
    </row>
    <row r="2" spans="1:7">
      <c r="A2" s="89">
        <v>1</v>
      </c>
      <c r="B2" s="93" t="s">
        <v>337</v>
      </c>
      <c r="C2" s="89" t="s">
        <v>56</v>
      </c>
      <c r="D2" s="21"/>
      <c r="E2" s="21"/>
      <c r="F2" s="21"/>
      <c r="G2" s="21"/>
    </row>
    <row r="3" spans="1:7">
      <c r="A3" s="89">
        <v>2</v>
      </c>
      <c r="B3" s="93" t="s">
        <v>338</v>
      </c>
      <c r="C3" s="89" t="s">
        <v>56</v>
      </c>
      <c r="D3" s="21"/>
      <c r="E3" s="21"/>
      <c r="F3" s="21"/>
      <c r="G3" s="21"/>
    </row>
    <row r="4" spans="1:7">
      <c r="A4" s="89">
        <v>3</v>
      </c>
      <c r="B4" s="93" t="s">
        <v>339</v>
      </c>
      <c r="C4" s="89" t="s">
        <v>56</v>
      </c>
      <c r="D4" s="21"/>
      <c r="E4" s="21"/>
      <c r="F4" s="21"/>
      <c r="G4" s="21"/>
    </row>
    <row r="5" spans="1:7">
      <c r="A5" s="89">
        <v>4</v>
      </c>
      <c r="B5" s="93" t="s">
        <v>340</v>
      </c>
      <c r="C5" s="89" t="s">
        <v>58</v>
      </c>
      <c r="D5" s="21"/>
      <c r="E5" s="21"/>
      <c r="F5" s="21"/>
      <c r="G5" s="21"/>
    </row>
    <row r="6" spans="1:7">
      <c r="A6" s="89">
        <v>5</v>
      </c>
      <c r="B6" s="93" t="s">
        <v>341</v>
      </c>
      <c r="C6" s="89" t="s">
        <v>58</v>
      </c>
      <c r="D6" s="21"/>
      <c r="E6" s="21"/>
      <c r="F6" s="21"/>
      <c r="G6" s="21"/>
    </row>
    <row r="7" spans="1:7">
      <c r="A7" s="89">
        <v>6</v>
      </c>
      <c r="B7" s="93" t="s">
        <v>60</v>
      </c>
      <c r="C7" s="89" t="s">
        <v>58</v>
      </c>
      <c r="D7" s="21"/>
      <c r="E7" s="21"/>
      <c r="F7" s="21"/>
      <c r="G7" s="21"/>
    </row>
    <row r="8" spans="1:7">
      <c r="A8" s="89">
        <v>7</v>
      </c>
      <c r="B8" s="93" t="s">
        <v>61</v>
      </c>
      <c r="C8" s="89" t="s">
        <v>58</v>
      </c>
      <c r="D8" s="21"/>
      <c r="E8" s="21"/>
      <c r="F8" s="21"/>
      <c r="G8" s="21"/>
    </row>
    <row r="9" spans="1:7">
      <c r="A9" s="89">
        <v>8</v>
      </c>
      <c r="B9" s="93" t="s">
        <v>342</v>
      </c>
      <c r="C9" s="89" t="s">
        <v>63</v>
      </c>
      <c r="D9" s="21"/>
      <c r="E9" s="21"/>
      <c r="F9" s="21"/>
      <c r="G9" s="21"/>
    </row>
    <row r="10" spans="1:7">
      <c r="A10" s="89">
        <v>9</v>
      </c>
      <c r="B10" s="93" t="s">
        <v>343</v>
      </c>
      <c r="C10" s="89" t="s">
        <v>63</v>
      </c>
      <c r="D10" s="21"/>
      <c r="E10" s="21"/>
      <c r="F10" s="21"/>
      <c r="G10" s="21"/>
    </row>
    <row r="11" spans="1:7">
      <c r="A11" s="89">
        <v>10</v>
      </c>
      <c r="B11" s="93" t="s">
        <v>344</v>
      </c>
      <c r="C11" s="89" t="s">
        <v>65</v>
      </c>
      <c r="D11" s="21"/>
      <c r="E11" s="21"/>
      <c r="F11" s="21"/>
      <c r="G11" s="21"/>
    </row>
    <row r="12" spans="1:7">
      <c r="A12" s="89">
        <v>11</v>
      </c>
      <c r="B12" s="95" t="s">
        <v>66</v>
      </c>
      <c r="C12" s="89" t="s">
        <v>67</v>
      </c>
      <c r="D12" s="21"/>
      <c r="E12" s="21"/>
      <c r="F12" s="21"/>
      <c r="G12" s="21"/>
    </row>
    <row r="13" spans="1:7">
      <c r="A13" s="89">
        <v>12</v>
      </c>
      <c r="B13" s="95" t="s">
        <v>68</v>
      </c>
      <c r="C13" s="89" t="s">
        <v>69</v>
      </c>
      <c r="D13" s="21"/>
      <c r="E13" s="21"/>
      <c r="F13" s="21"/>
      <c r="G13" s="21"/>
    </row>
    <row r="14" spans="1:7">
      <c r="A14" s="89">
        <v>13</v>
      </c>
      <c r="B14" s="93" t="s">
        <v>345</v>
      </c>
      <c r="C14" s="89" t="s">
        <v>89</v>
      </c>
      <c r="D14" s="21"/>
      <c r="E14" s="21"/>
      <c r="F14" s="21"/>
      <c r="G14" s="21"/>
    </row>
    <row r="15" spans="1:7">
      <c r="A15" s="89">
        <v>14</v>
      </c>
      <c r="B15" s="93" t="s">
        <v>346</v>
      </c>
      <c r="C15" s="89" t="s">
        <v>85</v>
      </c>
      <c r="D15" s="21"/>
      <c r="E15" s="21"/>
      <c r="F15" s="21"/>
      <c r="G15" s="21"/>
    </row>
    <row r="16" spans="1:7">
      <c r="A16" s="89">
        <v>15</v>
      </c>
      <c r="B16" s="95" t="s">
        <v>72</v>
      </c>
      <c r="C16" s="89" t="s">
        <v>73</v>
      </c>
      <c r="D16" s="21"/>
      <c r="E16" s="21"/>
      <c r="F16" s="21"/>
      <c r="G16" s="21"/>
    </row>
    <row r="17" spans="1:7">
      <c r="A17" s="89">
        <v>16</v>
      </c>
      <c r="B17" s="93" t="s">
        <v>347</v>
      </c>
      <c r="C17" s="88" t="s">
        <v>322</v>
      </c>
      <c r="D17" s="21"/>
      <c r="E17" s="21"/>
      <c r="F17" s="21"/>
      <c r="G17" s="21"/>
    </row>
    <row r="18" spans="1:7">
      <c r="A18" s="89">
        <v>17</v>
      </c>
      <c r="B18" s="93" t="s">
        <v>348</v>
      </c>
      <c r="C18" s="88" t="s">
        <v>322</v>
      </c>
      <c r="D18" s="21"/>
      <c r="E18" s="21"/>
      <c r="F18" s="21"/>
      <c r="G18" s="21"/>
    </row>
    <row r="19" spans="1:7">
      <c r="A19" s="89">
        <v>18</v>
      </c>
      <c r="B19" s="96" t="s">
        <v>349</v>
      </c>
      <c r="C19" s="88" t="s">
        <v>322</v>
      </c>
      <c r="D19" s="21"/>
      <c r="E19" s="21"/>
      <c r="F19" s="21"/>
      <c r="G19" s="21"/>
    </row>
    <row r="20" spans="1:7">
      <c r="A20" s="89">
        <v>19</v>
      </c>
      <c r="B20" s="93" t="s">
        <v>299</v>
      </c>
      <c r="C20" s="88" t="s">
        <v>322</v>
      </c>
      <c r="D20" s="21"/>
      <c r="E20" s="21"/>
      <c r="F20" s="21"/>
      <c r="G20" s="21"/>
    </row>
    <row r="21" spans="1:7">
      <c r="A21" s="89">
        <v>20</v>
      </c>
      <c r="B21" s="93" t="s">
        <v>350</v>
      </c>
      <c r="C21" s="88" t="s">
        <v>322</v>
      </c>
      <c r="D21" s="21"/>
      <c r="E21" s="21"/>
      <c r="F21" s="21"/>
      <c r="G21" s="21"/>
    </row>
    <row r="22" spans="1:7">
      <c r="A22" s="89">
        <v>21</v>
      </c>
      <c r="B22" s="93" t="s">
        <v>351</v>
      </c>
      <c r="C22" s="88" t="s">
        <v>322</v>
      </c>
    </row>
    <row r="23" spans="1:7">
      <c r="A23" s="89">
        <v>22</v>
      </c>
      <c r="B23" s="89" t="s">
        <v>78</v>
      </c>
      <c r="C23" s="88" t="s">
        <v>322</v>
      </c>
    </row>
    <row r="24" spans="1:7" ht="15.6" customHeight="1">
      <c r="A24" s="89">
        <v>23</v>
      </c>
      <c r="B24" s="95" t="s">
        <v>79</v>
      </c>
      <c r="C24" s="89" t="s">
        <v>63</v>
      </c>
    </row>
    <row r="25" spans="1:7">
      <c r="A25" s="89">
        <v>24</v>
      </c>
      <c r="B25" s="89" t="s">
        <v>80</v>
      </c>
      <c r="C25" s="89" t="s">
        <v>58</v>
      </c>
    </row>
    <row r="26" spans="1:7">
      <c r="A26" s="89">
        <v>25</v>
      </c>
      <c r="B26" s="95" t="s">
        <v>81</v>
      </c>
      <c r="C26" s="89" t="s">
        <v>56</v>
      </c>
    </row>
    <row r="27" spans="1:7">
      <c r="A27" s="89">
        <v>26</v>
      </c>
      <c r="B27" s="95" t="s">
        <v>82</v>
      </c>
      <c r="C27" s="89" t="s">
        <v>65</v>
      </c>
    </row>
    <row r="28" spans="1:7">
      <c r="A28" s="89">
        <v>27</v>
      </c>
      <c r="B28" s="95" t="s">
        <v>83</v>
      </c>
      <c r="C28" s="89" t="s">
        <v>65</v>
      </c>
    </row>
    <row r="29" spans="1:7">
      <c r="A29" s="89">
        <v>28</v>
      </c>
      <c r="B29" s="95" t="s">
        <v>84</v>
      </c>
      <c r="C29" s="89" t="s">
        <v>85</v>
      </c>
    </row>
    <row r="30" spans="1:7">
      <c r="A30" s="89">
        <v>29</v>
      </c>
      <c r="B30" s="95" t="s">
        <v>86</v>
      </c>
      <c r="C30" s="89" t="s">
        <v>85</v>
      </c>
    </row>
    <row r="31" spans="1:7">
      <c r="A31" s="89">
        <v>30</v>
      </c>
      <c r="B31" s="95" t="s">
        <v>87</v>
      </c>
      <c r="C31" s="89" t="s">
        <v>85</v>
      </c>
    </row>
    <row r="32" spans="1:7">
      <c r="A32" s="89">
        <v>31</v>
      </c>
      <c r="B32" s="95" t="s">
        <v>88</v>
      </c>
      <c r="C32" s="89" t="s">
        <v>89</v>
      </c>
    </row>
    <row r="33" spans="1:3">
      <c r="A33" s="89">
        <v>32</v>
      </c>
      <c r="B33" s="95" t="s">
        <v>90</v>
      </c>
      <c r="C33" s="89" t="s">
        <v>89</v>
      </c>
    </row>
    <row r="34" spans="1:3">
      <c r="A34" s="89">
        <v>33</v>
      </c>
      <c r="B34" s="95" t="s">
        <v>91</v>
      </c>
      <c r="C34" s="88" t="s">
        <v>92</v>
      </c>
    </row>
    <row r="35" spans="1:3">
      <c r="A35" s="89">
        <v>34</v>
      </c>
      <c r="B35" s="95" t="s">
        <v>93</v>
      </c>
      <c r="C35" s="88" t="s">
        <v>322</v>
      </c>
    </row>
    <row r="36" spans="1:3">
      <c r="A36" s="89">
        <v>35</v>
      </c>
      <c r="B36" s="95" t="s">
        <v>94</v>
      </c>
      <c r="C36" s="88" t="s">
        <v>322</v>
      </c>
    </row>
    <row r="37" spans="1:3">
      <c r="A37" s="89">
        <v>36</v>
      </c>
      <c r="B37" s="95" t="s">
        <v>95</v>
      </c>
      <c r="C37" s="88" t="s">
        <v>322</v>
      </c>
    </row>
    <row r="38" spans="1:3">
      <c r="A38" s="89">
        <v>37</v>
      </c>
      <c r="B38" s="95" t="s">
        <v>96</v>
      </c>
      <c r="C38" s="88" t="s">
        <v>322</v>
      </c>
    </row>
    <row r="39" spans="1:3">
      <c r="A39" s="89">
        <v>38</v>
      </c>
      <c r="B39" s="95" t="s">
        <v>97</v>
      </c>
      <c r="C39" s="88" t="s">
        <v>322</v>
      </c>
    </row>
    <row r="40" spans="1:3">
      <c r="A40" s="94">
        <v>39</v>
      </c>
      <c r="B40" s="88" t="s">
        <v>320</v>
      </c>
      <c r="C40" s="88" t="s">
        <v>56</v>
      </c>
    </row>
    <row r="41" spans="1:3">
      <c r="A41" s="94">
        <v>40</v>
      </c>
      <c r="B41" s="88" t="s">
        <v>325</v>
      </c>
      <c r="C41" s="88" t="s">
        <v>58</v>
      </c>
    </row>
    <row r="42" spans="1:3">
      <c r="A42" s="94">
        <v>41</v>
      </c>
      <c r="B42" s="88" t="s">
        <v>326</v>
      </c>
      <c r="C42" s="88" t="s">
        <v>58</v>
      </c>
    </row>
    <row r="43" spans="1:3">
      <c r="A43" s="94">
        <v>42</v>
      </c>
      <c r="B43" s="88" t="s">
        <v>327</v>
      </c>
      <c r="C43" s="88" t="s">
        <v>58</v>
      </c>
    </row>
    <row r="44" spans="1:3">
      <c r="A44" s="94">
        <v>43</v>
      </c>
      <c r="B44" s="88" t="s">
        <v>328</v>
      </c>
      <c r="C44" s="88" t="s">
        <v>58</v>
      </c>
    </row>
    <row r="45" spans="1:3">
      <c r="A45" s="94">
        <v>44</v>
      </c>
      <c r="B45" s="88" t="s">
        <v>329</v>
      </c>
      <c r="C45" s="88" t="s">
        <v>322</v>
      </c>
    </row>
    <row r="46" spans="1:3">
      <c r="A46" s="94">
        <v>45</v>
      </c>
      <c r="B46" s="88" t="s">
        <v>129</v>
      </c>
      <c r="C46" s="88" t="s">
        <v>322</v>
      </c>
    </row>
    <row r="47" spans="1:3">
      <c r="A47" s="94">
        <v>46</v>
      </c>
      <c r="B47" s="88" t="s">
        <v>330</v>
      </c>
      <c r="C47" s="88" t="s">
        <v>89</v>
      </c>
    </row>
    <row r="48" spans="1:3">
      <c r="A48" s="94">
        <v>47</v>
      </c>
      <c r="B48" s="88" t="s">
        <v>331</v>
      </c>
      <c r="C48" s="88" t="s">
        <v>63</v>
      </c>
    </row>
    <row r="49" spans="1:3">
      <c r="A49" s="94">
        <v>48</v>
      </c>
      <c r="B49" s="88" t="s">
        <v>332</v>
      </c>
      <c r="C49" s="88" t="s">
        <v>65</v>
      </c>
    </row>
    <row r="50" spans="1:3">
      <c r="A50" s="94">
        <v>49</v>
      </c>
      <c r="B50" s="88" t="s">
        <v>333</v>
      </c>
      <c r="C50" s="88" t="s">
        <v>322</v>
      </c>
    </row>
    <row r="51" spans="1:3">
      <c r="A51" s="94">
        <v>50</v>
      </c>
      <c r="B51" s="67" t="s">
        <v>336</v>
      </c>
      <c r="C51" s="88" t="s">
        <v>322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2861D-02C1-4385-AC28-55EBE2DAB8BF}">
          <x14:formula1>
            <xm:f>volby!$G$3:$G$1000</xm:f>
          </x14:formula1>
          <xm:sqref>C2:C52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G13"/>
  <sheetViews>
    <sheetView zoomScaleNormal="100" workbookViewId="0">
      <selection activeCell="G14" sqref="G14"/>
    </sheetView>
  </sheetViews>
  <sheetFormatPr defaultColWidth="11.5546875" defaultRowHeight="14.4"/>
  <cols>
    <col min="2" max="2" width="33.6640625" customWidth="1"/>
    <col min="3" max="3" width="34.44140625" customWidth="1"/>
    <col min="4" max="4" width="16.5546875" customWidth="1"/>
    <col min="5" max="5" width="23.5546875" customWidth="1"/>
    <col min="6" max="6" width="15.21875" bestFit="1" customWidth="1"/>
    <col min="7" max="7" width="21.33203125" bestFit="1" customWidth="1"/>
  </cols>
  <sheetData>
    <row r="2" spans="2:7">
      <c r="B2" s="25" t="s">
        <v>98</v>
      </c>
      <c r="C2" s="25" t="s">
        <v>99</v>
      </c>
      <c r="D2" s="25" t="s">
        <v>100</v>
      </c>
      <c r="E2" s="25" t="s">
        <v>101</v>
      </c>
      <c r="F2" s="20" t="s">
        <v>102</v>
      </c>
      <c r="G2" s="48" t="s">
        <v>321</v>
      </c>
    </row>
    <row r="3" spans="2:7">
      <c r="B3" s="26" t="s">
        <v>103</v>
      </c>
      <c r="C3" s="26" t="s">
        <v>104</v>
      </c>
      <c r="D3" s="26" t="s">
        <v>11</v>
      </c>
      <c r="E3" s="26" t="s">
        <v>105</v>
      </c>
      <c r="F3" s="26" t="s">
        <v>13</v>
      </c>
      <c r="G3" s="22" t="s">
        <v>56</v>
      </c>
    </row>
    <row r="4" spans="2:7">
      <c r="B4" s="26" t="s">
        <v>106</v>
      </c>
      <c r="C4" s="26" t="s">
        <v>107</v>
      </c>
      <c r="D4" s="26" t="s">
        <v>108</v>
      </c>
      <c r="E4" s="26" t="s">
        <v>109</v>
      </c>
      <c r="F4" s="26" t="s">
        <v>14</v>
      </c>
      <c r="G4" s="22" t="s">
        <v>58</v>
      </c>
    </row>
    <row r="5" spans="2:7">
      <c r="B5" s="26" t="s">
        <v>110</v>
      </c>
      <c r="C5" s="26" t="s">
        <v>111</v>
      </c>
      <c r="E5" s="26" t="s">
        <v>112</v>
      </c>
      <c r="F5" s="26" t="s">
        <v>113</v>
      </c>
      <c r="G5" s="22" t="s">
        <v>63</v>
      </c>
    </row>
    <row r="6" spans="2:7">
      <c r="E6" t="s">
        <v>114</v>
      </c>
      <c r="F6" s="27" t="s">
        <v>24</v>
      </c>
      <c r="G6" s="23" t="s">
        <v>65</v>
      </c>
    </row>
    <row r="7" spans="2:7">
      <c r="G7" s="24" t="s">
        <v>67</v>
      </c>
    </row>
    <row r="8" spans="2:7">
      <c r="G8" s="24" t="s">
        <v>69</v>
      </c>
    </row>
    <row r="9" spans="2:7">
      <c r="G9" s="90" t="s">
        <v>92</v>
      </c>
    </row>
    <row r="10" spans="2:7">
      <c r="G10" s="89" t="s">
        <v>85</v>
      </c>
    </row>
    <row r="11" spans="2:7">
      <c r="G11" s="24" t="s">
        <v>73</v>
      </c>
    </row>
    <row r="12" spans="2:7">
      <c r="G12" s="24" t="s">
        <v>322</v>
      </c>
    </row>
    <row r="13" spans="2:7">
      <c r="G13" s="44" t="s">
        <v>89</v>
      </c>
    </row>
  </sheetData>
  <dataValidations count="1">
    <dataValidation operator="equal" allowBlank="1" showErrorMessage="1" sqref="B3:B5" xr:uid="{00000000-0002-0000-0400-000000000000}">
      <formula1>0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8E4C4-96F7-4C02-91B7-BFB24028AC53}">
  <dimension ref="A1:A6"/>
  <sheetViews>
    <sheetView workbookViewId="0">
      <selection activeCell="A6" sqref="A6"/>
    </sheetView>
  </sheetViews>
  <sheetFormatPr defaultRowHeight="14.4"/>
  <cols>
    <col min="1" max="1" width="47.21875" bestFit="1" customWidth="1"/>
    <col min="3" max="3" width="68.77734375" customWidth="1"/>
  </cols>
  <sheetData>
    <row r="1" spans="1:1">
      <c r="A1" s="44" t="s">
        <v>352</v>
      </c>
    </row>
    <row r="2" spans="1:1">
      <c r="A2" t="s">
        <v>147</v>
      </c>
    </row>
    <row r="3" spans="1:1">
      <c r="A3" t="s">
        <v>148</v>
      </c>
    </row>
    <row r="4" spans="1:1">
      <c r="A4" s="44" t="s">
        <v>244</v>
      </c>
    </row>
    <row r="5" spans="1:1">
      <c r="A5" s="44" t="s">
        <v>278</v>
      </c>
    </row>
    <row r="6" spans="1:1">
      <c r="A6" s="44" t="s">
        <v>353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F154E-FB8B-403C-82D5-BCAC12BCC0A6}">
  <dimension ref="A1:X23"/>
  <sheetViews>
    <sheetView zoomScale="90" zoomScaleNormal="90" workbookViewId="0">
      <selection activeCell="B1" sqref="B1:C1"/>
    </sheetView>
  </sheetViews>
  <sheetFormatPr defaultRowHeight="14.4"/>
  <cols>
    <col min="2" max="2" width="23.21875" bestFit="1" customWidth="1"/>
    <col min="3" max="3" width="25.21875" bestFit="1" customWidth="1"/>
    <col min="4" max="6" width="5.88671875" customWidth="1"/>
    <col min="7" max="14" width="5.88671875" style="34" customWidth="1"/>
    <col min="15" max="15" width="5.77734375" style="34" customWidth="1"/>
    <col min="16" max="19" width="5.88671875" style="34" customWidth="1"/>
    <col min="20" max="24" width="8.88671875" style="34"/>
  </cols>
  <sheetData>
    <row r="1" spans="1:24">
      <c r="A1" s="10" t="s">
        <v>29</v>
      </c>
      <c r="B1" s="10" t="s">
        <v>334</v>
      </c>
      <c r="C1" s="38" t="s">
        <v>335</v>
      </c>
      <c r="D1" s="34" t="s">
        <v>32</v>
      </c>
      <c r="E1" s="34" t="s">
        <v>33</v>
      </c>
      <c r="F1" s="34" t="s">
        <v>34</v>
      </c>
    </row>
    <row r="2" spans="1:24" ht="15.6">
      <c r="A2">
        <v>1</v>
      </c>
      <c r="B2" s="1" t="str">
        <f>VLOOKUP(A2,kategorie!$A$2:$B$99,2,FALSE())</f>
        <v>zahradní zeleň</v>
      </c>
      <c r="C2" s="39" t="s">
        <v>117</v>
      </c>
      <c r="D2" s="35">
        <v>0</v>
      </c>
      <c r="E2" s="35">
        <v>0</v>
      </c>
      <c r="F2" s="35">
        <v>0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4" ht="15.6">
      <c r="A3">
        <v>39</v>
      </c>
      <c r="B3" s="1" t="str">
        <f>VLOOKUP(A3,kategorie!$A$2:$B$99,2,FALSE())</f>
        <v>gastroodpad</v>
      </c>
      <c r="C3" s="39" t="s">
        <v>118</v>
      </c>
      <c r="D3" s="35">
        <v>52.3</v>
      </c>
      <c r="E3" s="35">
        <v>242.5</v>
      </c>
      <c r="F3" s="35">
        <v>42.7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 ht="15.6">
      <c r="A4">
        <v>4</v>
      </c>
      <c r="B4" s="1" t="str">
        <f>VLOOKUP(A4,kategorie!$A$2:$B$99,2,FALSE())</f>
        <v>plast měkký</v>
      </c>
      <c r="C4" s="39" t="s">
        <v>119</v>
      </c>
      <c r="D4" s="35">
        <v>34.799999999999997</v>
      </c>
      <c r="E4" s="35">
        <v>85.4</v>
      </c>
      <c r="F4" s="35">
        <v>18.3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15.6">
      <c r="A5">
        <v>40</v>
      </c>
      <c r="B5" s="1" t="str">
        <f>VLOOKUP(A5,kategorie!$A$2:$B$99,2,FALSE())</f>
        <v>fólie čirá</v>
      </c>
      <c r="C5" s="39" t="s">
        <v>120</v>
      </c>
      <c r="D5" s="35">
        <v>19.2</v>
      </c>
      <c r="E5" s="35">
        <v>4.4000000000000004</v>
      </c>
      <c r="F5" s="35">
        <v>37.6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15.6">
      <c r="A6">
        <v>41</v>
      </c>
      <c r="B6" s="1" t="str">
        <f>VLOOKUP(A6,kategorie!$A$2:$B$99,2,FALSE())</f>
        <v>fólie barevná</v>
      </c>
      <c r="C6" s="39" t="s">
        <v>121</v>
      </c>
      <c r="D6" s="35">
        <v>17.399999999999999</v>
      </c>
      <c r="E6" s="35">
        <v>17.100000000000001</v>
      </c>
      <c r="F6" s="35">
        <v>19.399999999999999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ht="15.6">
      <c r="A7">
        <v>42</v>
      </c>
      <c r="B7" s="1" t="str">
        <f>VLOOKUP(A7,kategorie!$A$2:$B$99,2,FALSE())</f>
        <v>pet lahev světlá</v>
      </c>
      <c r="C7" s="39" t="s">
        <v>122</v>
      </c>
      <c r="D7" s="35">
        <v>13.2</v>
      </c>
      <c r="E7" s="35">
        <v>31.6</v>
      </c>
      <c r="F7" s="35">
        <v>18.2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</row>
    <row r="8" spans="1:24" ht="15.6">
      <c r="A8">
        <v>43</v>
      </c>
      <c r="B8" s="1" t="str">
        <f>VLOOKUP(A8,kategorie!$A$2:$B$99,2,FALSE())</f>
        <v>pet lahev barevná</v>
      </c>
      <c r="C8" s="39" t="s">
        <v>123</v>
      </c>
      <c r="D8" s="35">
        <v>3.6</v>
      </c>
      <c r="E8" s="35">
        <v>16.100000000000001</v>
      </c>
      <c r="F8" s="35">
        <v>0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</row>
    <row r="9" spans="1:24" ht="15.6">
      <c r="A9">
        <v>7</v>
      </c>
      <c r="B9" s="1" t="str">
        <f>VLOOKUP(A9,kategorie!$A$2:$B$99,2,FALSE())</f>
        <v>HDP tvrdé plasty</v>
      </c>
      <c r="C9" s="39" t="s">
        <v>124</v>
      </c>
      <c r="D9" s="35">
        <v>7.5</v>
      </c>
      <c r="E9" s="35">
        <v>11.1</v>
      </c>
      <c r="F9" s="35">
        <v>9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</row>
    <row r="10" spans="1:24" ht="15.6">
      <c r="A10">
        <v>9</v>
      </c>
      <c r="B10" s="1" t="str">
        <f>VLOOKUP(A10,kategorie!$A$2:$B$99,2,FALSE())</f>
        <v>lepenka, karton</v>
      </c>
      <c r="C10" s="39" t="s">
        <v>125</v>
      </c>
      <c r="D10" s="35">
        <v>79.400000000000006</v>
      </c>
      <c r="E10" s="35">
        <v>64.2</v>
      </c>
      <c r="F10" s="35">
        <v>30.3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</row>
    <row r="11" spans="1:24" ht="15.6">
      <c r="A11">
        <v>8</v>
      </c>
      <c r="B11" s="1" t="str">
        <f>VLOOKUP(A11,kategorie!$A$2:$B$99,2,FALSE())</f>
        <v>papír, tiskoviny</v>
      </c>
      <c r="C11" s="39" t="s">
        <v>126</v>
      </c>
      <c r="D11" s="35">
        <v>40.9</v>
      </c>
      <c r="E11" s="35">
        <v>162.80000000000001</v>
      </c>
      <c r="F11" s="35">
        <v>99.3</v>
      </c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</row>
    <row r="12" spans="1:24" ht="15.6">
      <c r="A12">
        <v>10</v>
      </c>
      <c r="B12" s="1" t="str">
        <f>VLOOKUP(A12,kategorie!$A$2:$B$99,2,FALSE())</f>
        <v>sklo</v>
      </c>
      <c r="C12" s="39" t="s">
        <v>65</v>
      </c>
      <c r="D12" s="35">
        <v>42.2</v>
      </c>
      <c r="E12" s="35">
        <v>71.7</v>
      </c>
      <c r="F12" s="35">
        <v>45.9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</row>
    <row r="13" spans="1:24" ht="15.6">
      <c r="A13">
        <v>20</v>
      </c>
      <c r="B13" s="1" t="str">
        <f>VLOOKUP(A13,kategorie!$A$2:$B$99,2,FALSE())</f>
        <v>směsný komunální odpad</v>
      </c>
      <c r="C13" s="39" t="s">
        <v>127</v>
      </c>
      <c r="D13" s="35">
        <v>279.39999999999998</v>
      </c>
      <c r="E13" s="35">
        <v>447.9</v>
      </c>
      <c r="F13" s="35">
        <v>282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</row>
    <row r="14" spans="1:24" ht="15.6">
      <c r="A14">
        <v>44</v>
      </c>
      <c r="B14" s="1" t="str">
        <f>VLOOKUP(A14,kategorie!$A$2:$B$99,2,FALSE())</f>
        <v>SKO pod sítem/popel</v>
      </c>
      <c r="C14" s="39" t="s">
        <v>128</v>
      </c>
      <c r="D14" s="35">
        <v>19.7</v>
      </c>
      <c r="E14" s="35">
        <v>0</v>
      </c>
      <c r="F14" s="35">
        <v>0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 ht="15.6">
      <c r="A15">
        <v>45</v>
      </c>
      <c r="B15" s="1" t="str">
        <f>VLOOKUP(A15,kategorie!$A$2:$B$99,2,FALSE())</f>
        <v>SKO</v>
      </c>
      <c r="C15" s="39" t="s">
        <v>129</v>
      </c>
      <c r="D15" s="40">
        <v>299.09999999999997</v>
      </c>
      <c r="E15" s="40">
        <v>447.9</v>
      </c>
      <c r="F15" s="40">
        <v>282</v>
      </c>
      <c r="G15" s="36"/>
      <c r="H15" s="36"/>
      <c r="I15" s="36"/>
      <c r="J15" s="36"/>
      <c r="K15" s="36"/>
      <c r="L15" s="36"/>
      <c r="M15" s="36"/>
      <c r="N15" s="36"/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 ht="15.6">
      <c r="A16">
        <v>11</v>
      </c>
      <c r="B16" s="1" t="str">
        <f>VLOOKUP(A16,kategorie!$A$2:$B$99,2,FALSE())</f>
        <v>elektroodpad</v>
      </c>
      <c r="C16" s="39" t="s">
        <v>130</v>
      </c>
      <c r="D16" s="35">
        <v>6.4</v>
      </c>
      <c r="E16" s="35">
        <v>6.8</v>
      </c>
      <c r="F16" s="35">
        <v>0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</row>
    <row r="17" spans="1:24" ht="15.6">
      <c r="A17">
        <v>46</v>
      </c>
      <c r="B17" s="1" t="str">
        <f>VLOOKUP(A17,kategorie!$A$2:$B$99,2,FALSE())</f>
        <v>textil + obuv</v>
      </c>
      <c r="C17" s="39" t="s">
        <v>131</v>
      </c>
      <c r="D17" s="35">
        <v>8.1</v>
      </c>
      <c r="E17" s="35">
        <v>5.4</v>
      </c>
      <c r="F17" s="35">
        <v>7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 ht="15.6">
      <c r="A18">
        <v>14</v>
      </c>
      <c r="B18" s="1" t="str">
        <f>VLOOKUP(A18,kategorie!$A$2:$B$99,2,FALSE())</f>
        <v>kov</v>
      </c>
      <c r="C18" s="39" t="s">
        <v>85</v>
      </c>
      <c r="D18" s="35">
        <v>6.8</v>
      </c>
      <c r="E18" s="35">
        <v>14.4</v>
      </c>
      <c r="F18" s="35">
        <v>9.4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</row>
    <row r="19" spans="1:24" ht="15.6">
      <c r="A19">
        <v>15</v>
      </c>
      <c r="B19" s="1" t="str">
        <f>VLOOKUP(A19,kategorie!$A$2:$B$99,2,FALSE())</f>
        <v>nápojový karton</v>
      </c>
      <c r="C19" s="39" t="s">
        <v>132</v>
      </c>
      <c r="D19" s="35">
        <v>3.4</v>
      </c>
      <c r="E19" s="35">
        <v>5.5</v>
      </c>
      <c r="F19" s="35">
        <v>3.3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</row>
    <row r="20" spans="1:24" ht="15.6">
      <c r="A20">
        <v>12</v>
      </c>
      <c r="B20" s="1" t="str">
        <f>VLOOKUP(A20,kategorie!$A$2:$B$99,2,FALSE())</f>
        <v>procesované dřevo</v>
      </c>
      <c r="C20" s="39" t="s">
        <v>133</v>
      </c>
      <c r="D20" s="35">
        <v>1.5</v>
      </c>
      <c r="E20" s="35">
        <v>8.6</v>
      </c>
      <c r="F20" s="35">
        <v>0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</row>
    <row r="21" spans="1:24" ht="15.6">
      <c r="A21">
        <v>16</v>
      </c>
      <c r="B21" s="1" t="str">
        <f>VLOOKUP(A21,kategorie!$A$2:$B$99,2,FALSE())</f>
        <v>stavební odpad</v>
      </c>
      <c r="C21" s="39" t="s">
        <v>134</v>
      </c>
      <c r="D21" s="35">
        <v>0</v>
      </c>
      <c r="E21" s="35">
        <v>28.7</v>
      </c>
      <c r="F21" s="35">
        <v>0</v>
      </c>
      <c r="G21" s="35"/>
      <c r="H21" s="35"/>
      <c r="I21" s="35"/>
      <c r="J21" s="35"/>
      <c r="K21" s="35"/>
      <c r="L21" s="35"/>
      <c r="M21" s="35"/>
      <c r="N21" s="35"/>
      <c r="O21" s="37"/>
      <c r="P21" s="37"/>
      <c r="Q21" s="37"/>
      <c r="R21" s="37"/>
      <c r="S21" s="37"/>
      <c r="T21" s="37"/>
      <c r="U21" s="37"/>
      <c r="V21" s="37"/>
      <c r="W21" s="37"/>
      <c r="X21" s="37"/>
    </row>
    <row r="22" spans="1:24" ht="15.6">
      <c r="A22">
        <v>21</v>
      </c>
      <c r="B22" s="1" t="str">
        <f>VLOOKUP(A22,kategorie!$A$2:$B$99,2,FALSE())</f>
        <v>nebezpečný odpad</v>
      </c>
      <c r="C22" s="39" t="s">
        <v>135</v>
      </c>
      <c r="D22" s="35">
        <v>0</v>
      </c>
      <c r="E22" s="35">
        <v>0.2</v>
      </c>
      <c r="F22" s="35">
        <v>0</v>
      </c>
      <c r="G22" s="35"/>
      <c r="H22" s="35"/>
      <c r="I22" s="35"/>
      <c r="J22" s="35"/>
      <c r="K22" s="35"/>
      <c r="L22" s="35"/>
      <c r="M22" s="35"/>
      <c r="N22" s="35"/>
    </row>
    <row r="23" spans="1:24" ht="15.6">
      <c r="A23">
        <v>18</v>
      </c>
      <c r="B23" s="1" t="str">
        <f>VLOOKUP(A23,kategorie!$A$2:$B$99,2,FALSE())</f>
        <v>infekční/neinfekční odpad</v>
      </c>
      <c r="C23" s="39" t="s">
        <v>136</v>
      </c>
      <c r="D23" s="35">
        <v>3.2</v>
      </c>
      <c r="E23" s="35">
        <v>2.5</v>
      </c>
      <c r="F23" s="35">
        <v>0</v>
      </c>
      <c r="G23" s="35"/>
      <c r="H23" s="35"/>
      <c r="I23" s="35"/>
      <c r="J23" s="35"/>
      <c r="K23" s="35"/>
      <c r="L23" s="35"/>
      <c r="M23" s="35"/>
      <c r="N23" s="3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269D3-89D2-48D1-B29D-0213AD6FBB5B}">
  <dimension ref="A1:K25"/>
  <sheetViews>
    <sheetView zoomScale="90" zoomScaleNormal="90" workbookViewId="0">
      <selection activeCell="B1" sqref="B1:C1"/>
    </sheetView>
  </sheetViews>
  <sheetFormatPr defaultRowHeight="14.4"/>
  <cols>
    <col min="2" max="2" width="23.21875" bestFit="1" customWidth="1"/>
    <col min="3" max="3" width="25.21875" bestFit="1" customWidth="1"/>
    <col min="4" max="11" width="5.88671875" customWidth="1"/>
    <col min="12" max="12" width="36.109375" bestFit="1" customWidth="1"/>
    <col min="13" max="16" width="5.88671875" customWidth="1"/>
  </cols>
  <sheetData>
    <row r="1" spans="1:11">
      <c r="A1" s="10" t="s">
        <v>29</v>
      </c>
      <c r="B1" s="10" t="s">
        <v>334</v>
      </c>
      <c r="C1" s="38" t="s">
        <v>335</v>
      </c>
      <c r="D1" s="41" t="s">
        <v>35</v>
      </c>
      <c r="E1" s="41" t="s">
        <v>36</v>
      </c>
      <c r="F1" s="41" t="s">
        <v>37</v>
      </c>
      <c r="G1" s="41" t="s">
        <v>38</v>
      </c>
      <c r="H1" s="41" t="s">
        <v>39</v>
      </c>
      <c r="I1" s="41" t="s">
        <v>40</v>
      </c>
      <c r="J1" s="41" t="s">
        <v>139</v>
      </c>
      <c r="K1" s="41" t="s">
        <v>140</v>
      </c>
    </row>
    <row r="2" spans="1:11" ht="15.6">
      <c r="A2">
        <v>1</v>
      </c>
      <c r="B2" s="1" t="str">
        <f>VLOOKUP(A2,kategorie!$A$2:$B$99,2,FALSE())</f>
        <v>zahradní zeleň</v>
      </c>
      <c r="C2" s="42" t="s">
        <v>117</v>
      </c>
      <c r="D2" s="29">
        <v>28</v>
      </c>
      <c r="E2" s="29">
        <v>28.799999999999997</v>
      </c>
      <c r="F2" s="29">
        <v>6</v>
      </c>
      <c r="G2" s="29">
        <v>45</v>
      </c>
      <c r="H2" s="29">
        <v>0</v>
      </c>
      <c r="I2" s="29">
        <v>8.1</v>
      </c>
      <c r="J2" s="29">
        <v>0.2</v>
      </c>
      <c r="K2" s="29">
        <v>0</v>
      </c>
    </row>
    <row r="3" spans="1:11" ht="15.6">
      <c r="A3">
        <v>39</v>
      </c>
      <c r="B3" s="1" t="str">
        <f>VLOOKUP(A3,kategorie!$A$2:$B$99,2,FALSE())</f>
        <v>gastroodpad</v>
      </c>
      <c r="C3" s="42" t="s">
        <v>118</v>
      </c>
      <c r="D3" s="29">
        <v>85</v>
      </c>
      <c r="E3" s="29">
        <v>131.10000000000002</v>
      </c>
      <c r="F3" s="29">
        <v>36</v>
      </c>
      <c r="G3" s="29">
        <v>17.5</v>
      </c>
      <c r="H3" s="29">
        <v>9.6</v>
      </c>
      <c r="I3" s="29">
        <v>29.7</v>
      </c>
      <c r="J3" s="29">
        <v>6.9</v>
      </c>
      <c r="K3" s="29">
        <v>0</v>
      </c>
    </row>
    <row r="4" spans="1:11" ht="15.6">
      <c r="A4">
        <v>4</v>
      </c>
      <c r="B4" s="1" t="str">
        <f>VLOOKUP(A4,kategorie!$A$2:$B$99,2,FALSE())</f>
        <v>plast měkký</v>
      </c>
      <c r="C4" s="42" t="s">
        <v>119</v>
      </c>
      <c r="D4" s="29">
        <v>36</v>
      </c>
      <c r="E4" s="29">
        <v>34.35</v>
      </c>
      <c r="F4" s="29">
        <v>39</v>
      </c>
      <c r="G4" s="29">
        <v>28.8</v>
      </c>
      <c r="H4" s="29">
        <v>0</v>
      </c>
      <c r="I4" s="29">
        <v>0</v>
      </c>
      <c r="J4" s="29">
        <v>0</v>
      </c>
      <c r="K4" s="29">
        <v>0</v>
      </c>
    </row>
    <row r="5" spans="1:11" ht="15.6">
      <c r="A5">
        <v>40</v>
      </c>
      <c r="B5" s="1" t="str">
        <f>VLOOKUP(A5,kategorie!$A$2:$B$99,2,FALSE())</f>
        <v>fólie čirá</v>
      </c>
      <c r="C5" s="42" t="s">
        <v>120</v>
      </c>
      <c r="D5" s="29">
        <v>55</v>
      </c>
      <c r="E5" s="29">
        <v>38.700000000000003</v>
      </c>
      <c r="F5" s="29">
        <v>30</v>
      </c>
      <c r="G5" s="29">
        <v>30.8</v>
      </c>
      <c r="H5" s="29">
        <v>4.3</v>
      </c>
      <c r="I5" s="29">
        <v>15.2</v>
      </c>
      <c r="J5" s="29">
        <v>4</v>
      </c>
      <c r="K5" s="29">
        <v>0</v>
      </c>
    </row>
    <row r="6" spans="1:11" ht="15.6">
      <c r="A6">
        <v>41</v>
      </c>
      <c r="B6" s="1" t="str">
        <f>VLOOKUP(A6,kategorie!$A$2:$B$99,2,FALSE())</f>
        <v>fólie barevná</v>
      </c>
      <c r="C6" s="42" t="s">
        <v>121</v>
      </c>
      <c r="D6" s="29">
        <v>7</v>
      </c>
      <c r="E6" s="29">
        <v>0</v>
      </c>
      <c r="F6" s="29">
        <v>12</v>
      </c>
      <c r="G6" s="29">
        <v>5.2</v>
      </c>
      <c r="H6" s="29">
        <v>1.6</v>
      </c>
      <c r="I6" s="29">
        <v>4.5</v>
      </c>
      <c r="J6" s="29">
        <v>0.8</v>
      </c>
      <c r="K6" s="29">
        <v>0</v>
      </c>
    </row>
    <row r="7" spans="1:11" ht="15.6">
      <c r="A7">
        <v>42</v>
      </c>
      <c r="B7" s="1" t="str">
        <f>VLOOKUP(A7,kategorie!$A$2:$B$99,2,FALSE())</f>
        <v>pet lahev světlá</v>
      </c>
      <c r="C7" s="42" t="s">
        <v>122</v>
      </c>
      <c r="D7" s="29">
        <v>0</v>
      </c>
      <c r="E7" s="29">
        <v>24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</row>
    <row r="8" spans="1:11" ht="15.6">
      <c r="A8">
        <v>43</v>
      </c>
      <c r="B8" s="1" t="str">
        <f>VLOOKUP(A8,kategorie!$A$2:$B$99,2,FALSE())</f>
        <v>pet lahev barevná</v>
      </c>
      <c r="C8" s="42" t="s">
        <v>123</v>
      </c>
      <c r="D8" s="29">
        <v>0</v>
      </c>
      <c r="E8" s="29">
        <v>15.45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</row>
    <row r="9" spans="1:11" ht="15.6">
      <c r="A9">
        <v>7</v>
      </c>
      <c r="B9" s="1" t="str">
        <f>VLOOKUP(A9,kategorie!$A$2:$B$99,2,FALSE())</f>
        <v>HDP tvrdé plasty</v>
      </c>
      <c r="C9" s="42" t="s">
        <v>124</v>
      </c>
      <c r="D9" s="29">
        <v>10</v>
      </c>
      <c r="E9" s="29">
        <v>9.4499999999999993</v>
      </c>
      <c r="F9" s="29">
        <v>8</v>
      </c>
      <c r="G9" s="29">
        <v>8.1</v>
      </c>
      <c r="H9" s="29">
        <v>1.1000000000000001</v>
      </c>
      <c r="I9" s="29">
        <v>4.7</v>
      </c>
      <c r="J9" s="29">
        <v>0.5</v>
      </c>
      <c r="K9" s="29">
        <v>0</v>
      </c>
    </row>
    <row r="10" spans="1:11" ht="15.6">
      <c r="A10">
        <v>47</v>
      </c>
      <c r="B10" s="1" t="str">
        <f>VLOOKUP(A10,kategorie!$A$2:$B$99,2,FALSE())</f>
        <v>papír MIX</v>
      </c>
      <c r="C10" s="43" t="s">
        <v>137</v>
      </c>
      <c r="D10" s="29">
        <v>12</v>
      </c>
      <c r="E10" s="29">
        <v>0</v>
      </c>
      <c r="F10" s="29">
        <v>40.5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</row>
    <row r="11" spans="1:11" ht="15.6">
      <c r="A11">
        <v>9</v>
      </c>
      <c r="B11" s="1" t="str">
        <f>VLOOKUP(A11,kategorie!$A$2:$B$99,2,FALSE())</f>
        <v>lepenka, karton</v>
      </c>
      <c r="C11" s="42" t="s">
        <v>125</v>
      </c>
      <c r="D11" s="29">
        <v>0</v>
      </c>
      <c r="E11" s="29">
        <v>12.899999999999999</v>
      </c>
      <c r="F11" s="29">
        <v>0</v>
      </c>
      <c r="G11" s="29">
        <v>16.100000000000001</v>
      </c>
      <c r="H11" s="29">
        <v>0</v>
      </c>
      <c r="I11" s="29">
        <v>5.2</v>
      </c>
      <c r="J11" s="29">
        <v>0</v>
      </c>
      <c r="K11" s="29">
        <v>0</v>
      </c>
    </row>
    <row r="12" spans="1:11" ht="15.6">
      <c r="A12">
        <v>8</v>
      </c>
      <c r="B12" s="1" t="str">
        <f>VLOOKUP(A12,kategorie!$A$2:$B$99,2,FALSE())</f>
        <v>papír, tiskoviny</v>
      </c>
      <c r="C12" s="42" t="s">
        <v>126</v>
      </c>
      <c r="D12" s="29">
        <v>0</v>
      </c>
      <c r="E12" s="29">
        <v>37.5</v>
      </c>
      <c r="F12" s="29">
        <v>0</v>
      </c>
      <c r="G12" s="29">
        <v>10.1</v>
      </c>
      <c r="H12" s="29">
        <v>4.0999999999999996</v>
      </c>
      <c r="I12" s="29">
        <v>9.5</v>
      </c>
      <c r="J12" s="29">
        <v>1.5</v>
      </c>
      <c r="K12" s="29">
        <v>0</v>
      </c>
    </row>
    <row r="13" spans="1:11" ht="15.6">
      <c r="A13">
        <v>48</v>
      </c>
      <c r="B13" s="1" t="str">
        <f>VLOOKUP(A13,kategorie!$A$2:$B$99,2,FALSE())</f>
        <v>sklo MIX</v>
      </c>
      <c r="C13" s="43" t="s">
        <v>138</v>
      </c>
      <c r="D13" s="29">
        <v>18</v>
      </c>
      <c r="E13" s="29">
        <v>45</v>
      </c>
      <c r="F13" s="29">
        <v>13</v>
      </c>
      <c r="G13" s="29">
        <v>0</v>
      </c>
      <c r="H13" s="29">
        <v>5.3</v>
      </c>
      <c r="I13" s="29">
        <v>15.3</v>
      </c>
      <c r="J13" s="29">
        <v>5.2</v>
      </c>
      <c r="K13" s="29">
        <v>0</v>
      </c>
    </row>
    <row r="14" spans="1:11" ht="15.6">
      <c r="A14">
        <v>10</v>
      </c>
      <c r="B14" s="1" t="str">
        <f>VLOOKUP(A14,kategorie!$A$2:$B$99,2,FALSE())</f>
        <v>sklo</v>
      </c>
      <c r="C14" s="42" t="s">
        <v>65</v>
      </c>
      <c r="D14" s="32">
        <v>18</v>
      </c>
      <c r="E14" s="32">
        <v>45</v>
      </c>
      <c r="F14" s="32">
        <v>13</v>
      </c>
      <c r="G14" s="32">
        <v>0</v>
      </c>
      <c r="H14" s="32">
        <v>5.3</v>
      </c>
      <c r="I14" s="32">
        <v>15.3</v>
      </c>
      <c r="J14" s="32">
        <v>5.2</v>
      </c>
      <c r="K14" s="32">
        <v>13</v>
      </c>
    </row>
    <row r="15" spans="1:11" ht="15.6">
      <c r="A15">
        <v>20</v>
      </c>
      <c r="B15" s="1" t="str">
        <f>VLOOKUP(A15,kategorie!$A$2:$B$99,2,FALSE())</f>
        <v>směsný komunální odpad</v>
      </c>
      <c r="C15" s="42" t="s">
        <v>127</v>
      </c>
      <c r="D15" s="29">
        <v>384</v>
      </c>
      <c r="E15" s="29">
        <v>238.5</v>
      </c>
      <c r="F15" s="29">
        <v>83</v>
      </c>
      <c r="G15" s="29">
        <v>163.80000000000001</v>
      </c>
      <c r="H15" s="29">
        <v>9</v>
      </c>
      <c r="I15" s="29">
        <v>18.600000000000001</v>
      </c>
      <c r="J15" s="29">
        <v>9.3000000000000007</v>
      </c>
      <c r="K15" s="29">
        <v>0</v>
      </c>
    </row>
    <row r="16" spans="1:11" ht="15.6">
      <c r="A16">
        <v>44</v>
      </c>
      <c r="B16" s="1" t="str">
        <f>VLOOKUP(A16,kategorie!$A$2:$B$99,2,FALSE())</f>
        <v>SKO pod sítem/popel</v>
      </c>
      <c r="C16" s="42" t="s">
        <v>128</v>
      </c>
      <c r="D16" s="29">
        <v>92</v>
      </c>
      <c r="E16" s="29">
        <v>0</v>
      </c>
      <c r="F16" s="29">
        <v>45.5</v>
      </c>
      <c r="G16" s="29">
        <v>141.69999999999999</v>
      </c>
      <c r="H16" s="29">
        <v>7.4</v>
      </c>
      <c r="I16" s="29">
        <v>15</v>
      </c>
      <c r="J16" s="29">
        <v>0</v>
      </c>
      <c r="K16" s="29">
        <v>0</v>
      </c>
    </row>
    <row r="17" spans="1:11">
      <c r="A17">
        <v>45</v>
      </c>
      <c r="B17" s="1" t="str">
        <f>VLOOKUP(A17,kategorie!$A$2:$B$99,2,FALSE())</f>
        <v>SKO</v>
      </c>
      <c r="C17" s="42" t="s">
        <v>129</v>
      </c>
      <c r="D17" s="33">
        <v>476</v>
      </c>
      <c r="E17" s="33">
        <v>238.5</v>
      </c>
      <c r="F17" s="33">
        <v>128.5</v>
      </c>
      <c r="G17" s="33">
        <v>305.5</v>
      </c>
      <c r="H17" s="33">
        <v>16.399999999999999</v>
      </c>
      <c r="I17" s="33">
        <v>33.6</v>
      </c>
      <c r="J17" s="33">
        <v>9.3000000000000007</v>
      </c>
      <c r="K17" s="33">
        <v>21</v>
      </c>
    </row>
    <row r="18" spans="1:11" ht="15.6">
      <c r="A18">
        <v>11</v>
      </c>
      <c r="B18" s="1" t="str">
        <f>VLOOKUP(A18,kategorie!$A$2:$B$99,2,FALSE())</f>
        <v>elektroodpad</v>
      </c>
      <c r="C18" s="42" t="s">
        <v>130</v>
      </c>
      <c r="D18" s="29">
        <v>3</v>
      </c>
      <c r="E18" s="29">
        <v>7.5</v>
      </c>
      <c r="F18" s="29">
        <v>4.5</v>
      </c>
      <c r="G18" s="29">
        <v>0.5</v>
      </c>
      <c r="H18" s="29">
        <v>2</v>
      </c>
      <c r="I18" s="29">
        <v>1.8</v>
      </c>
      <c r="J18" s="29">
        <v>0</v>
      </c>
      <c r="K18" s="29">
        <v>3</v>
      </c>
    </row>
    <row r="19" spans="1:11" ht="15.6">
      <c r="A19">
        <v>46</v>
      </c>
      <c r="B19" s="1" t="str">
        <f>VLOOKUP(A19,kategorie!$A$2:$B$99,2,FALSE())</f>
        <v>textil + obuv</v>
      </c>
      <c r="C19" s="42" t="s">
        <v>131</v>
      </c>
      <c r="D19" s="29">
        <v>31</v>
      </c>
      <c r="E19" s="29">
        <v>25.5</v>
      </c>
      <c r="F19" s="29">
        <v>30</v>
      </c>
      <c r="G19" s="29">
        <v>40.1</v>
      </c>
      <c r="H19" s="29">
        <v>2.5</v>
      </c>
      <c r="I19" s="29">
        <v>7.6</v>
      </c>
      <c r="J19" s="29">
        <v>11.2</v>
      </c>
      <c r="K19" s="29">
        <v>9</v>
      </c>
    </row>
    <row r="20" spans="1:11" ht="15.6">
      <c r="A20">
        <v>14</v>
      </c>
      <c r="B20" s="1" t="str">
        <f>VLOOKUP(A20,kategorie!$A$2:$B$99,2,FALSE())</f>
        <v>kov</v>
      </c>
      <c r="C20" s="42" t="s">
        <v>85</v>
      </c>
      <c r="D20" s="29">
        <v>24</v>
      </c>
      <c r="E20" s="29">
        <v>33.299999999999997</v>
      </c>
      <c r="F20" s="29">
        <v>16</v>
      </c>
      <c r="G20" s="29">
        <v>22.5</v>
      </c>
      <c r="H20" s="29">
        <v>2.4</v>
      </c>
      <c r="I20" s="29">
        <v>4.4000000000000004</v>
      </c>
      <c r="J20" s="29">
        <v>1.2</v>
      </c>
      <c r="K20" s="29">
        <v>6.5</v>
      </c>
    </row>
    <row r="21" spans="1:11" ht="15.6">
      <c r="A21">
        <v>15</v>
      </c>
      <c r="B21" s="1" t="str">
        <f>VLOOKUP(A21,kategorie!$A$2:$B$99,2,FALSE())</f>
        <v>nápojový karton</v>
      </c>
      <c r="C21" s="42" t="s">
        <v>132</v>
      </c>
      <c r="D21" s="29">
        <v>6</v>
      </c>
      <c r="E21" s="29">
        <v>13.049999999999999</v>
      </c>
      <c r="F21" s="29">
        <v>10</v>
      </c>
      <c r="G21" s="29">
        <v>9.6999999999999993</v>
      </c>
      <c r="H21" s="29">
        <v>1</v>
      </c>
      <c r="I21" s="29">
        <v>2.8</v>
      </c>
      <c r="J21" s="29">
        <v>1.1000000000000001</v>
      </c>
      <c r="K21" s="29">
        <v>1</v>
      </c>
    </row>
    <row r="22" spans="1:11" ht="15.6">
      <c r="A22">
        <v>12</v>
      </c>
      <c r="B22" s="1" t="str">
        <f>VLOOKUP(A22,kategorie!$A$2:$B$99,2,FALSE())</f>
        <v>procesované dřevo</v>
      </c>
      <c r="C22" s="42" t="s">
        <v>133</v>
      </c>
      <c r="D22" s="29">
        <v>0</v>
      </c>
      <c r="E22" s="29">
        <v>0</v>
      </c>
      <c r="F22" s="29">
        <v>6</v>
      </c>
      <c r="G22" s="29">
        <v>2.4</v>
      </c>
      <c r="H22" s="29">
        <v>0</v>
      </c>
      <c r="I22" s="29">
        <v>0</v>
      </c>
      <c r="J22" s="29">
        <v>0</v>
      </c>
      <c r="K22" s="29">
        <v>0</v>
      </c>
    </row>
    <row r="23" spans="1:11" ht="15.6">
      <c r="A23">
        <v>16</v>
      </c>
      <c r="B23" s="1" t="str">
        <f>VLOOKUP(A23,kategorie!$A$2:$B$99,2,FALSE())</f>
        <v>stavební odpad</v>
      </c>
      <c r="C23" s="42" t="s">
        <v>134</v>
      </c>
      <c r="D23" s="29">
        <v>0</v>
      </c>
      <c r="E23" s="29">
        <v>12</v>
      </c>
      <c r="F23" s="29">
        <v>8</v>
      </c>
      <c r="G23" s="29">
        <v>24</v>
      </c>
      <c r="H23" s="29">
        <v>0</v>
      </c>
      <c r="I23" s="29">
        <v>16</v>
      </c>
      <c r="J23" s="29">
        <v>0</v>
      </c>
      <c r="K23" s="29">
        <v>0</v>
      </c>
    </row>
    <row r="24" spans="1:11" ht="15.6">
      <c r="A24">
        <v>21</v>
      </c>
      <c r="B24" s="1" t="str">
        <f>VLOOKUP(A24,kategorie!$A$2:$B$99,2,FALSE())</f>
        <v>nebezpečný odpad</v>
      </c>
      <c r="C24" s="42" t="s">
        <v>135</v>
      </c>
      <c r="D24" s="29">
        <v>3.5</v>
      </c>
      <c r="E24" s="29">
        <v>6.75</v>
      </c>
      <c r="F24" s="29">
        <v>0</v>
      </c>
      <c r="G24" s="29">
        <v>4</v>
      </c>
      <c r="H24" s="29">
        <v>0</v>
      </c>
      <c r="I24" s="29">
        <v>0</v>
      </c>
      <c r="J24" s="29">
        <v>0</v>
      </c>
      <c r="K24" s="29">
        <v>0</v>
      </c>
    </row>
    <row r="25" spans="1:11" ht="15.6">
      <c r="A25">
        <v>18</v>
      </c>
      <c r="B25" s="1" t="str">
        <f>VLOOKUP(A25,kategorie!$A$2:$B$99,2,FALSE())</f>
        <v>infekční/neinfekční odpad</v>
      </c>
      <c r="C25" s="42" t="s">
        <v>136</v>
      </c>
      <c r="D25" s="29">
        <v>30</v>
      </c>
      <c r="E25" s="29">
        <v>57</v>
      </c>
      <c r="F25" s="29">
        <v>22.5</v>
      </c>
      <c r="G25" s="29">
        <v>93.45</v>
      </c>
      <c r="H25" s="29">
        <v>8</v>
      </c>
      <c r="I25" s="29">
        <v>9.5</v>
      </c>
      <c r="J25" s="29">
        <v>3.8</v>
      </c>
      <c r="K25" s="29">
        <v>3.5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B351E-1CEC-41AD-9BE1-ED671B4D2C93}">
  <dimension ref="A1:M22"/>
  <sheetViews>
    <sheetView workbookViewId="0">
      <selection activeCell="B1" sqref="B1:C1"/>
    </sheetView>
  </sheetViews>
  <sheetFormatPr defaultRowHeight="14.4"/>
  <cols>
    <col min="2" max="2" width="33" bestFit="1" customWidth="1"/>
    <col min="3" max="3" width="36.109375" bestFit="1" customWidth="1"/>
    <col min="4" max="5" width="6.5546875" bestFit="1" customWidth="1"/>
    <col min="6" max="6" width="6.109375" bestFit="1" customWidth="1"/>
    <col min="7" max="7" width="7.6640625" bestFit="1" customWidth="1"/>
    <col min="8" max="9" width="6.5546875" bestFit="1" customWidth="1"/>
    <col min="10" max="10" width="7.6640625" bestFit="1" customWidth="1"/>
    <col min="11" max="12" width="6.5546875" bestFit="1" customWidth="1"/>
    <col min="13" max="13" width="36.109375" style="34" bestFit="1" customWidth="1"/>
  </cols>
  <sheetData>
    <row r="1" spans="1:13">
      <c r="A1" s="10" t="s">
        <v>29</v>
      </c>
      <c r="B1" s="10" t="s">
        <v>334</v>
      </c>
      <c r="C1" s="38" t="s">
        <v>335</v>
      </c>
      <c r="D1" s="48" t="s">
        <v>152</v>
      </c>
      <c r="E1" s="48" t="s">
        <v>153</v>
      </c>
      <c r="F1" s="48" t="s">
        <v>154</v>
      </c>
      <c r="G1" s="48" t="s">
        <v>155</v>
      </c>
      <c r="H1" s="48" t="s">
        <v>156</v>
      </c>
      <c r="I1" s="48" t="s">
        <v>157</v>
      </c>
      <c r="J1" s="48" t="s">
        <v>158</v>
      </c>
      <c r="K1" s="48" t="s">
        <v>159</v>
      </c>
      <c r="L1" s="48" t="s">
        <v>160</v>
      </c>
    </row>
    <row r="2" spans="1:13" ht="15.6">
      <c r="A2">
        <v>1</v>
      </c>
      <c r="B2" s="1" t="str">
        <f>VLOOKUP(A2,kategorie!$A$2:$B$99,2,FALSE())</f>
        <v>zahradní zeleň</v>
      </c>
      <c r="C2" s="29" t="s">
        <v>55</v>
      </c>
      <c r="D2" s="29">
        <v>3.3</v>
      </c>
      <c r="E2" s="29">
        <v>4.5999999999999996</v>
      </c>
      <c r="F2" s="29">
        <v>96.9</v>
      </c>
      <c r="G2" s="29">
        <v>89.32</v>
      </c>
      <c r="H2" s="29">
        <v>132.5</v>
      </c>
      <c r="I2" s="29">
        <v>177</v>
      </c>
      <c r="J2" s="29">
        <v>132.24</v>
      </c>
      <c r="K2" s="29">
        <v>144.1</v>
      </c>
      <c r="L2" s="29">
        <v>143.6</v>
      </c>
      <c r="M2" s="46"/>
    </row>
    <row r="3" spans="1:13" ht="15.6">
      <c r="A3">
        <v>39</v>
      </c>
      <c r="B3" s="1" t="str">
        <f>VLOOKUP(A3,kategorie!$A$2:$B$99,2,FALSE())</f>
        <v>gastroodpad</v>
      </c>
      <c r="C3" s="29" t="s">
        <v>161</v>
      </c>
      <c r="D3" s="29">
        <v>25.4</v>
      </c>
      <c r="E3" s="29">
        <v>14.4</v>
      </c>
      <c r="F3" s="29">
        <v>22.8</v>
      </c>
      <c r="G3" s="29">
        <v>141.08000000000001</v>
      </c>
      <c r="H3" s="29">
        <v>115.5</v>
      </c>
      <c r="I3" s="29">
        <v>147.69999999999999</v>
      </c>
      <c r="J3" s="29">
        <v>64.2</v>
      </c>
      <c r="K3" s="29">
        <v>0</v>
      </c>
      <c r="L3" s="29">
        <v>198.6</v>
      </c>
      <c r="M3" s="46"/>
    </row>
    <row r="4" spans="1:13" ht="15.6">
      <c r="A4">
        <v>4</v>
      </c>
      <c r="B4" s="1" t="str">
        <f>VLOOKUP(A4,kategorie!$A$2:$B$99,2,FALSE())</f>
        <v>plast měkký</v>
      </c>
      <c r="C4" s="29" t="s">
        <v>57</v>
      </c>
      <c r="D4" s="29">
        <v>0</v>
      </c>
      <c r="E4" s="29">
        <v>0</v>
      </c>
      <c r="F4" s="29">
        <v>28</v>
      </c>
      <c r="G4" s="29">
        <v>51.28</v>
      </c>
      <c r="H4" s="29">
        <v>25.8</v>
      </c>
      <c r="I4" s="29">
        <v>72.099999999999994</v>
      </c>
      <c r="J4" s="29">
        <v>63.6</v>
      </c>
      <c r="K4" s="29">
        <v>0</v>
      </c>
      <c r="L4" s="29">
        <v>29.5</v>
      </c>
      <c r="M4" s="46"/>
    </row>
    <row r="5" spans="1:13" ht="15.6">
      <c r="A5">
        <v>5</v>
      </c>
      <c r="B5" s="1" t="str">
        <f>VLOOKUP(A5,kategorie!$A$2:$B$99,2,FALSE())</f>
        <v>plastové folie</v>
      </c>
      <c r="C5" s="29" t="s">
        <v>59</v>
      </c>
      <c r="D5" s="29">
        <v>23.8</v>
      </c>
      <c r="E5" s="29">
        <v>24.1</v>
      </c>
      <c r="F5" s="29">
        <v>28.1</v>
      </c>
      <c r="G5" s="29">
        <v>0</v>
      </c>
      <c r="H5" s="29">
        <v>0</v>
      </c>
      <c r="I5" s="29">
        <v>0</v>
      </c>
      <c r="J5" s="29">
        <v>0</v>
      </c>
      <c r="K5" s="29">
        <v>41.7</v>
      </c>
      <c r="L5" s="29">
        <v>17</v>
      </c>
      <c r="M5" s="46"/>
    </row>
    <row r="6" spans="1:13" ht="15.6">
      <c r="A6">
        <v>6</v>
      </c>
      <c r="B6" s="1" t="str">
        <f>VLOOKUP(A6,kategorie!$A$2:$B$99,2,FALSE())</f>
        <v>PET lahve</v>
      </c>
      <c r="C6" s="29" t="s">
        <v>60</v>
      </c>
      <c r="D6" s="29">
        <v>19.8</v>
      </c>
      <c r="E6" s="29">
        <v>11</v>
      </c>
      <c r="F6" s="29">
        <v>5.9</v>
      </c>
      <c r="G6" s="29">
        <v>13.52</v>
      </c>
      <c r="H6" s="29">
        <v>7.5</v>
      </c>
      <c r="I6" s="29">
        <v>16.8</v>
      </c>
      <c r="J6" s="29">
        <v>13.8</v>
      </c>
      <c r="K6" s="29">
        <v>1.6</v>
      </c>
      <c r="L6" s="29">
        <v>12.5</v>
      </c>
      <c r="M6" s="46"/>
    </row>
    <row r="7" spans="1:13" ht="15.6">
      <c r="A7">
        <v>7</v>
      </c>
      <c r="B7" s="1" t="str">
        <f>VLOOKUP(A7,kategorie!$A$2:$B$99,2,FALSE())</f>
        <v>HDP tvrdé plasty</v>
      </c>
      <c r="C7" s="29" t="s">
        <v>61</v>
      </c>
      <c r="D7" s="29">
        <v>18.399999999999999</v>
      </c>
      <c r="E7" s="29">
        <v>11.3</v>
      </c>
      <c r="F7" s="29">
        <v>13.7</v>
      </c>
      <c r="G7" s="29">
        <v>43.44</v>
      </c>
      <c r="H7" s="29">
        <v>10.1</v>
      </c>
      <c r="I7" s="29">
        <v>25.3</v>
      </c>
      <c r="J7" s="29">
        <v>15.84</v>
      </c>
      <c r="K7" s="29">
        <v>4.7</v>
      </c>
      <c r="L7" s="29">
        <v>6</v>
      </c>
      <c r="M7" s="46"/>
    </row>
    <row r="8" spans="1:13" ht="15.6">
      <c r="A8">
        <v>9</v>
      </c>
      <c r="B8" s="1" t="str">
        <f>VLOOKUP(A8,kategorie!$A$2:$B$99,2,FALSE())</f>
        <v>lepenka, karton</v>
      </c>
      <c r="C8" s="29" t="s">
        <v>162</v>
      </c>
      <c r="D8" s="29">
        <v>37.700000000000003</v>
      </c>
      <c r="E8" s="29">
        <v>25.9</v>
      </c>
      <c r="F8" s="29">
        <v>37.700000000000003</v>
      </c>
      <c r="G8" s="29">
        <v>50.08</v>
      </c>
      <c r="H8" s="29">
        <v>52.5</v>
      </c>
      <c r="I8" s="29">
        <v>5.5</v>
      </c>
      <c r="J8" s="29">
        <v>0</v>
      </c>
      <c r="K8" s="29">
        <v>18.3</v>
      </c>
      <c r="L8" s="29">
        <v>29.8</v>
      </c>
      <c r="M8" s="46"/>
    </row>
    <row r="9" spans="1:13" ht="15.6">
      <c r="A9">
        <v>8</v>
      </c>
      <c r="B9" s="1" t="str">
        <f>VLOOKUP(A9,kategorie!$A$2:$B$99,2,FALSE())</f>
        <v>papír, tiskoviny</v>
      </c>
      <c r="C9" s="29" t="s">
        <v>163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62</v>
      </c>
      <c r="J9" s="29">
        <v>54.9</v>
      </c>
      <c r="K9" s="29">
        <v>0</v>
      </c>
      <c r="L9" s="29">
        <v>21.8</v>
      </c>
      <c r="M9" s="46"/>
    </row>
    <row r="10" spans="1:13" ht="15.6">
      <c r="A10">
        <v>10</v>
      </c>
      <c r="B10" s="1" t="str">
        <f>VLOOKUP(A10,kategorie!$A$2:$B$99,2,FALSE())</f>
        <v>sklo</v>
      </c>
      <c r="C10" s="29" t="s">
        <v>64</v>
      </c>
      <c r="D10" s="29">
        <v>12.6</v>
      </c>
      <c r="E10" s="29">
        <v>15.2</v>
      </c>
      <c r="F10" s="29">
        <v>23.4</v>
      </c>
      <c r="G10" s="29">
        <v>52.56</v>
      </c>
      <c r="H10" s="29">
        <v>17.899999999999999</v>
      </c>
      <c r="I10" s="29">
        <v>84.6</v>
      </c>
      <c r="J10" s="29">
        <v>39.840000000000003</v>
      </c>
      <c r="K10" s="29">
        <v>13.2</v>
      </c>
      <c r="L10" s="29">
        <v>32.5</v>
      </c>
      <c r="M10" s="46"/>
    </row>
    <row r="11" spans="1:13" ht="15.6">
      <c r="A11">
        <v>11</v>
      </c>
      <c r="B11" s="1" t="str">
        <f>VLOOKUP(A11,kategorie!$A$2:$B$99,2,FALSE())</f>
        <v>elektroodpad</v>
      </c>
      <c r="C11" s="29" t="s">
        <v>164</v>
      </c>
      <c r="D11" s="29">
        <v>1.3</v>
      </c>
      <c r="E11" s="29">
        <v>0</v>
      </c>
      <c r="F11" s="29">
        <v>5.9</v>
      </c>
      <c r="G11" s="29">
        <v>7.84</v>
      </c>
      <c r="H11" s="29">
        <v>16.5</v>
      </c>
      <c r="I11" s="29">
        <v>2</v>
      </c>
      <c r="J11" s="29">
        <v>1.8</v>
      </c>
      <c r="K11" s="29">
        <v>0</v>
      </c>
      <c r="L11" s="29">
        <v>1.6</v>
      </c>
      <c r="M11" s="46"/>
    </row>
    <row r="12" spans="1:13" ht="15.6">
      <c r="A12">
        <v>13</v>
      </c>
      <c r="B12" s="1" t="str">
        <f>VLOOKUP(A12,kategorie!$A$2:$B$99,2,FALSE())</f>
        <v>textil</v>
      </c>
      <c r="C12" s="29" t="s">
        <v>70</v>
      </c>
      <c r="D12" s="29">
        <v>32</v>
      </c>
      <c r="E12" s="29">
        <v>26</v>
      </c>
      <c r="F12" s="29">
        <v>31.6</v>
      </c>
      <c r="G12" s="29">
        <v>61.92</v>
      </c>
      <c r="H12" s="29">
        <v>16.5</v>
      </c>
      <c r="I12" s="29">
        <v>43.5</v>
      </c>
      <c r="J12" s="29">
        <v>40.799999999999997</v>
      </c>
      <c r="K12" s="29">
        <v>21.5</v>
      </c>
      <c r="L12" s="29">
        <v>6.5</v>
      </c>
      <c r="M12" s="46"/>
    </row>
    <row r="13" spans="1:13" ht="15.6">
      <c r="A13">
        <v>14</v>
      </c>
      <c r="B13" s="1" t="str">
        <f>VLOOKUP(A13,kategorie!$A$2:$B$99,2,FALSE())</f>
        <v>kov</v>
      </c>
      <c r="C13" s="29" t="s">
        <v>71</v>
      </c>
      <c r="D13" s="29">
        <v>14.5</v>
      </c>
      <c r="E13" s="29">
        <v>24.9</v>
      </c>
      <c r="F13" s="29">
        <v>15.2</v>
      </c>
      <c r="G13" s="29">
        <v>21.84</v>
      </c>
      <c r="H13" s="29">
        <v>10.1</v>
      </c>
      <c r="I13" s="29">
        <v>23.5</v>
      </c>
      <c r="J13" s="29">
        <v>22.32</v>
      </c>
      <c r="K13" s="29">
        <v>13</v>
      </c>
      <c r="L13" s="29">
        <v>8.1</v>
      </c>
      <c r="M13" s="46"/>
    </row>
    <row r="14" spans="1:13" ht="15.6">
      <c r="A14">
        <v>15</v>
      </c>
      <c r="B14" s="1" t="str">
        <f>VLOOKUP(A14,kategorie!$A$2:$B$99,2,FALSE())</f>
        <v>nápojový karton</v>
      </c>
      <c r="C14" s="29" t="s">
        <v>165</v>
      </c>
      <c r="D14" s="29">
        <v>11.3</v>
      </c>
      <c r="E14" s="29">
        <v>12.5</v>
      </c>
      <c r="F14" s="29">
        <v>4.3</v>
      </c>
      <c r="G14" s="29">
        <v>7.92</v>
      </c>
      <c r="H14" s="29">
        <v>2.7</v>
      </c>
      <c r="I14" s="29">
        <v>9.5</v>
      </c>
      <c r="J14" s="29">
        <v>5.4</v>
      </c>
      <c r="K14" s="29">
        <v>4</v>
      </c>
      <c r="L14" s="29">
        <v>8.4</v>
      </c>
      <c r="M14" s="46"/>
    </row>
    <row r="15" spans="1:13" ht="15.6">
      <c r="A15">
        <v>12</v>
      </c>
      <c r="B15" s="1" t="str">
        <f>VLOOKUP(A15,kategorie!$A$2:$B$99,2,FALSE())</f>
        <v>procesované dřevo</v>
      </c>
      <c r="C15" s="29" t="s">
        <v>166</v>
      </c>
      <c r="D15" s="29">
        <v>1.4</v>
      </c>
      <c r="E15" s="29">
        <v>3.4</v>
      </c>
      <c r="F15" s="29">
        <v>5.9</v>
      </c>
      <c r="G15" s="29">
        <v>7.68</v>
      </c>
      <c r="H15" s="29">
        <v>0</v>
      </c>
      <c r="I15" s="29">
        <v>8.5</v>
      </c>
      <c r="J15" s="29">
        <v>18</v>
      </c>
      <c r="K15" s="29">
        <v>0</v>
      </c>
      <c r="L15" s="29">
        <v>0</v>
      </c>
      <c r="M15" s="46"/>
    </row>
    <row r="16" spans="1:13" ht="15.6">
      <c r="A16">
        <v>16</v>
      </c>
      <c r="B16" s="1" t="str">
        <f>VLOOKUP(A16,kategorie!$A$2:$B$99,2,FALSE())</f>
        <v>stavební odpad</v>
      </c>
      <c r="C16" s="29" t="s">
        <v>74</v>
      </c>
      <c r="D16" s="29">
        <v>3.7</v>
      </c>
      <c r="E16" s="29">
        <v>5.8</v>
      </c>
      <c r="F16" s="29">
        <v>29.8</v>
      </c>
      <c r="G16" s="29">
        <v>5.5</v>
      </c>
      <c r="H16" s="29">
        <v>173.9</v>
      </c>
      <c r="I16" s="29">
        <v>111.5</v>
      </c>
      <c r="J16" s="29">
        <v>20.04</v>
      </c>
      <c r="K16" s="29">
        <v>4.3</v>
      </c>
      <c r="L16" s="29">
        <v>3.5</v>
      </c>
      <c r="M16" s="46"/>
    </row>
    <row r="17" spans="1:13" ht="15.6">
      <c r="A17">
        <v>18</v>
      </c>
      <c r="B17" s="1" t="str">
        <f>VLOOKUP(A17,kategorie!$A$2:$B$99,2,FALSE())</f>
        <v>infekční/neinfekční odpad</v>
      </c>
      <c r="C17" s="29" t="s">
        <v>75</v>
      </c>
      <c r="D17" s="29">
        <v>20.3</v>
      </c>
      <c r="E17" s="29">
        <v>21.6</v>
      </c>
      <c r="F17" s="29">
        <v>28.1</v>
      </c>
      <c r="G17" s="29">
        <v>80.56</v>
      </c>
      <c r="H17" s="29">
        <v>21.5</v>
      </c>
      <c r="I17" s="29">
        <v>43.5</v>
      </c>
      <c r="J17" s="29">
        <v>45</v>
      </c>
      <c r="K17" s="29">
        <v>40.1</v>
      </c>
      <c r="L17" s="29">
        <v>49.2</v>
      </c>
      <c r="M17" s="46"/>
    </row>
    <row r="18" spans="1:13" ht="15.6">
      <c r="A18">
        <v>49</v>
      </c>
      <c r="B18" s="1" t="str">
        <f>VLOOKUP(A18,kategorie!$A$2:$B$99,2,FALSE())</f>
        <v>popel/nebezpečný odpad</v>
      </c>
      <c r="C18" s="29" t="s">
        <v>167</v>
      </c>
      <c r="D18" s="29">
        <v>5.5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46"/>
    </row>
    <row r="19" spans="1:13" ht="15.6">
      <c r="A19">
        <v>20</v>
      </c>
      <c r="B19" s="1" t="str">
        <f>VLOOKUP(A19,kategorie!$A$2:$B$99,2,FALSE())</f>
        <v>směsný komunální odpad</v>
      </c>
      <c r="C19" s="29" t="s">
        <v>77</v>
      </c>
      <c r="D19" s="29">
        <v>159.69999999999999</v>
      </c>
      <c r="E19" s="29">
        <v>164.2</v>
      </c>
      <c r="F19" s="29">
        <v>59.1</v>
      </c>
      <c r="G19" s="29">
        <v>199.28</v>
      </c>
      <c r="H19" s="29">
        <v>103.8</v>
      </c>
      <c r="I19" s="29">
        <v>126.9</v>
      </c>
      <c r="J19" s="29">
        <v>133.19999999999999</v>
      </c>
      <c r="K19" s="29">
        <v>107.4</v>
      </c>
      <c r="L19" s="29">
        <v>46.8</v>
      </c>
      <c r="M19" s="46"/>
    </row>
    <row r="20" spans="1:13" ht="15.6">
      <c r="A20">
        <v>50</v>
      </c>
      <c r="B20" s="1" t="str">
        <f>VLOOKUP(A20,kategorie!$A$2:$B$99,2,FALSE())</f>
        <v xml:space="preserve">směsný komunální odpad pod sítem </v>
      </c>
      <c r="C20" s="29" t="s">
        <v>168</v>
      </c>
      <c r="D20" s="29">
        <v>37</v>
      </c>
      <c r="E20" s="29">
        <v>71.7</v>
      </c>
      <c r="F20" s="29">
        <v>44.5</v>
      </c>
      <c r="G20" s="29">
        <v>0</v>
      </c>
      <c r="H20" s="29">
        <v>0</v>
      </c>
      <c r="I20" s="29">
        <v>0</v>
      </c>
      <c r="J20" s="29">
        <v>0</v>
      </c>
      <c r="K20" s="29">
        <v>49.6</v>
      </c>
      <c r="L20" s="29">
        <v>0</v>
      </c>
      <c r="M20" s="46"/>
    </row>
    <row r="21" spans="1:13" ht="15.6">
      <c r="B21" s="1"/>
      <c r="M21" s="46"/>
    </row>
    <row r="22" spans="1:13" ht="15.6">
      <c r="M22" s="47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BA80E-247F-4300-A82D-4AAE23E32F5B}">
  <dimension ref="A1:M19"/>
  <sheetViews>
    <sheetView workbookViewId="0">
      <selection activeCell="B1" sqref="B1:C1"/>
    </sheetView>
  </sheetViews>
  <sheetFormatPr defaultRowHeight="14.4"/>
  <cols>
    <col min="2" max="2" width="31.88671875" bestFit="1" customWidth="1"/>
    <col min="3" max="3" width="36.109375" style="34" bestFit="1" customWidth="1"/>
    <col min="4" max="4" width="8.77734375" style="34" bestFit="1" customWidth="1"/>
    <col min="5" max="7" width="6.5546875" style="34" bestFit="1" customWidth="1"/>
    <col min="8" max="8" width="6.109375" style="34" bestFit="1" customWidth="1"/>
    <col min="9" max="10" width="6.5546875" style="34" bestFit="1" customWidth="1"/>
    <col min="11" max="13" width="6.109375" style="34" bestFit="1" customWidth="1"/>
  </cols>
  <sheetData>
    <row r="1" spans="1:13">
      <c r="A1" s="10" t="s">
        <v>29</v>
      </c>
      <c r="B1" s="10" t="s">
        <v>334</v>
      </c>
      <c r="C1" s="38" t="s">
        <v>335</v>
      </c>
      <c r="D1" s="51" t="s">
        <v>176</v>
      </c>
      <c r="E1" s="51" t="s">
        <v>177</v>
      </c>
      <c r="F1" s="51" t="s">
        <v>178</v>
      </c>
      <c r="G1" s="51" t="s">
        <v>179</v>
      </c>
      <c r="H1" s="51" t="s">
        <v>180</v>
      </c>
      <c r="I1" s="51" t="s">
        <v>181</v>
      </c>
      <c r="J1" s="51" t="s">
        <v>182</v>
      </c>
      <c r="K1" s="51" t="s">
        <v>183</v>
      </c>
      <c r="L1" s="51" t="s">
        <v>184</v>
      </c>
      <c r="M1" s="51" t="s">
        <v>185</v>
      </c>
    </row>
    <row r="2" spans="1:13" ht="15.6">
      <c r="A2">
        <v>1</v>
      </c>
      <c r="B2" s="1" t="str">
        <f>VLOOKUP(A2,kategorie!$A$2:$B$99,2,FALSE())</f>
        <v>zahradní zeleň</v>
      </c>
      <c r="C2" s="46" t="s">
        <v>55</v>
      </c>
      <c r="D2" s="46">
        <v>49.725000000000001</v>
      </c>
      <c r="E2" s="46">
        <v>161.80000000000001</v>
      </c>
      <c r="F2" s="46">
        <v>29.25</v>
      </c>
      <c r="G2" s="46">
        <v>109.5</v>
      </c>
      <c r="H2" s="50">
        <v>39.4</v>
      </c>
      <c r="I2" s="46">
        <v>110.8</v>
      </c>
      <c r="J2" s="46">
        <v>134.80000000000001</v>
      </c>
      <c r="K2" s="46">
        <v>43.9</v>
      </c>
      <c r="L2" s="46">
        <v>63.3</v>
      </c>
      <c r="M2" s="46">
        <v>60.4</v>
      </c>
    </row>
    <row r="3" spans="1:13" ht="15.6">
      <c r="A3">
        <v>39</v>
      </c>
      <c r="B3" s="1" t="str">
        <f>VLOOKUP(A3,kategorie!$A$2:$B$99,2,FALSE())</f>
        <v>gastroodpad</v>
      </c>
      <c r="C3" s="46" t="s">
        <v>161</v>
      </c>
      <c r="D3" s="46">
        <v>71.775000000000006</v>
      </c>
      <c r="E3" s="46">
        <v>70.7</v>
      </c>
      <c r="F3" s="46">
        <v>16.100000000000001</v>
      </c>
      <c r="G3" s="46">
        <v>67.7</v>
      </c>
      <c r="H3" s="50">
        <v>47.8</v>
      </c>
      <c r="I3" s="46">
        <v>33.200000000000003</v>
      </c>
      <c r="J3" s="46">
        <v>52.8</v>
      </c>
      <c r="K3" s="46">
        <v>40.9</v>
      </c>
      <c r="L3" s="46">
        <v>42</v>
      </c>
      <c r="M3" s="46">
        <v>42.3</v>
      </c>
    </row>
    <row r="4" spans="1:13" ht="15.6">
      <c r="A4">
        <v>4</v>
      </c>
      <c r="B4" s="1" t="str">
        <f>VLOOKUP(A4,kategorie!$A$2:$B$99,2,FALSE())</f>
        <v>plast měkký</v>
      </c>
      <c r="C4" s="46" t="s">
        <v>57</v>
      </c>
      <c r="D4" s="46">
        <v>27</v>
      </c>
      <c r="E4" s="46">
        <v>51</v>
      </c>
      <c r="F4" s="46">
        <v>20.85</v>
      </c>
      <c r="G4" s="46">
        <v>42.2</v>
      </c>
      <c r="H4" s="50">
        <v>65.5</v>
      </c>
      <c r="I4" s="46">
        <v>30.4</v>
      </c>
      <c r="J4" s="46">
        <v>15.9</v>
      </c>
      <c r="K4" s="46">
        <v>13.8</v>
      </c>
      <c r="L4" s="46">
        <v>12.6</v>
      </c>
      <c r="M4" s="46">
        <v>15.3</v>
      </c>
    </row>
    <row r="5" spans="1:13" ht="15.6">
      <c r="A5">
        <v>5</v>
      </c>
      <c r="B5" s="1" t="str">
        <f>VLOOKUP(A5,kategorie!$A$2:$B$99,2,FALSE())</f>
        <v>plastové folie</v>
      </c>
      <c r="C5" s="46" t="s">
        <v>59</v>
      </c>
      <c r="D5" s="46">
        <v>11.625</v>
      </c>
      <c r="E5" s="46">
        <v>0</v>
      </c>
      <c r="F5" s="46">
        <v>0</v>
      </c>
      <c r="G5" s="46">
        <v>0</v>
      </c>
      <c r="H5" s="50">
        <v>0</v>
      </c>
      <c r="I5" s="46">
        <v>21.7</v>
      </c>
      <c r="J5" s="46">
        <v>9</v>
      </c>
      <c r="K5" s="46">
        <v>19</v>
      </c>
      <c r="L5" s="46">
        <v>8.1999999999999993</v>
      </c>
      <c r="M5" s="46">
        <v>0</v>
      </c>
    </row>
    <row r="6" spans="1:13" ht="15.6">
      <c r="A6">
        <v>6</v>
      </c>
      <c r="B6" s="1" t="str">
        <f>VLOOKUP(A6,kategorie!$A$2:$B$99,2,FALSE())</f>
        <v>PET lahve</v>
      </c>
      <c r="C6" s="46" t="s">
        <v>60</v>
      </c>
      <c r="D6" s="46">
        <v>17.25</v>
      </c>
      <c r="E6" s="46">
        <v>15</v>
      </c>
      <c r="F6" s="46">
        <v>4</v>
      </c>
      <c r="G6" s="46">
        <v>10.6</v>
      </c>
      <c r="H6" s="50">
        <v>10.8</v>
      </c>
      <c r="I6" s="46">
        <v>17.5</v>
      </c>
      <c r="J6" s="46">
        <v>5.6</v>
      </c>
      <c r="K6" s="46">
        <v>6.5</v>
      </c>
      <c r="L6" s="46">
        <v>4</v>
      </c>
      <c r="M6" s="46">
        <v>3.8</v>
      </c>
    </row>
    <row r="7" spans="1:13" ht="15.6">
      <c r="A7">
        <v>7</v>
      </c>
      <c r="B7" s="1" t="str">
        <f>VLOOKUP(A7,kategorie!$A$2:$B$99,2,FALSE())</f>
        <v>HDP tvrdé plasty</v>
      </c>
      <c r="C7" s="46" t="s">
        <v>61</v>
      </c>
      <c r="D7" s="46">
        <v>9.6750000000000007</v>
      </c>
      <c r="E7" s="46">
        <v>32.200000000000003</v>
      </c>
      <c r="F7" s="46">
        <v>9.8000000000000007</v>
      </c>
      <c r="G7" s="46">
        <v>14.4</v>
      </c>
      <c r="H7" s="50">
        <v>12.6</v>
      </c>
      <c r="I7" s="46">
        <v>14.4</v>
      </c>
      <c r="J7" s="46">
        <v>5.4</v>
      </c>
      <c r="K7" s="46">
        <v>9</v>
      </c>
      <c r="L7" s="46">
        <v>5.0999999999999996</v>
      </c>
      <c r="M7" s="46">
        <v>3.6</v>
      </c>
    </row>
    <row r="8" spans="1:13" ht="15.6">
      <c r="A8">
        <v>9</v>
      </c>
      <c r="B8" s="1" t="str">
        <f>VLOOKUP(A8,kategorie!$A$2:$B$99,2,FALSE())</f>
        <v>lepenka, karton</v>
      </c>
      <c r="C8" s="46" t="s">
        <v>162</v>
      </c>
      <c r="D8" s="46">
        <v>12</v>
      </c>
      <c r="E8" s="46">
        <v>15.6</v>
      </c>
      <c r="F8" s="46">
        <v>0</v>
      </c>
      <c r="G8" s="46">
        <v>54.7</v>
      </c>
      <c r="H8" s="50">
        <v>48.7</v>
      </c>
      <c r="I8" s="46">
        <v>22.2</v>
      </c>
      <c r="J8" s="46">
        <v>33.700000000000003</v>
      </c>
      <c r="K8" s="46">
        <v>16.7</v>
      </c>
      <c r="L8" s="46">
        <v>4</v>
      </c>
      <c r="M8" s="46">
        <v>13.8</v>
      </c>
    </row>
    <row r="9" spans="1:13" ht="15.6">
      <c r="A9">
        <v>8</v>
      </c>
      <c r="B9" s="1" t="str">
        <f>VLOOKUP(A9,kategorie!$A$2:$B$99,2,FALSE())</f>
        <v>papír, tiskoviny</v>
      </c>
      <c r="C9" s="46" t="s">
        <v>163</v>
      </c>
      <c r="D9" s="46">
        <v>37.575000000000003</v>
      </c>
      <c r="E9" s="46">
        <v>43.1</v>
      </c>
      <c r="F9" s="46">
        <v>39.6</v>
      </c>
      <c r="G9" s="46">
        <v>0</v>
      </c>
      <c r="H9" s="50">
        <v>0</v>
      </c>
      <c r="I9" s="46">
        <v>49.2</v>
      </c>
      <c r="J9" s="46">
        <v>0</v>
      </c>
      <c r="K9" s="46">
        <v>0</v>
      </c>
      <c r="L9" s="46">
        <v>19.899999999999999</v>
      </c>
      <c r="M9" s="46">
        <v>0</v>
      </c>
    </row>
    <row r="10" spans="1:13" ht="15.6">
      <c r="A10">
        <v>10</v>
      </c>
      <c r="B10" s="1" t="str">
        <f>VLOOKUP(A10,kategorie!$A$2:$B$99,2,FALSE())</f>
        <v>sklo</v>
      </c>
      <c r="C10" s="46" t="s">
        <v>64</v>
      </c>
      <c r="D10" s="46">
        <v>14.475</v>
      </c>
      <c r="E10" s="46">
        <v>48.2</v>
      </c>
      <c r="F10" s="46">
        <v>8.5</v>
      </c>
      <c r="G10" s="46">
        <v>53.1</v>
      </c>
      <c r="H10" s="50">
        <v>19.5</v>
      </c>
      <c r="I10" s="46">
        <v>17.5</v>
      </c>
      <c r="J10" s="46">
        <v>32.5</v>
      </c>
      <c r="K10" s="46">
        <v>20.3</v>
      </c>
      <c r="L10" s="46">
        <v>14.5</v>
      </c>
      <c r="M10" s="46">
        <v>18.3</v>
      </c>
    </row>
    <row r="11" spans="1:13" ht="15.6">
      <c r="A11">
        <v>11</v>
      </c>
      <c r="B11" s="1" t="str">
        <f>VLOOKUP(A11,kategorie!$A$2:$B$99,2,FALSE())</f>
        <v>elektroodpad</v>
      </c>
      <c r="C11" s="46" t="s">
        <v>164</v>
      </c>
      <c r="D11" s="46">
        <v>5.85</v>
      </c>
      <c r="E11" s="46">
        <v>5.7</v>
      </c>
      <c r="F11" s="46">
        <v>11</v>
      </c>
      <c r="G11" s="46">
        <v>5.4</v>
      </c>
      <c r="H11" s="50">
        <v>2.6</v>
      </c>
      <c r="I11" s="46">
        <v>15.4</v>
      </c>
      <c r="J11" s="46">
        <v>0</v>
      </c>
      <c r="K11" s="46">
        <v>9.6</v>
      </c>
      <c r="L11" s="46">
        <v>1.7</v>
      </c>
      <c r="M11" s="46">
        <v>10.3</v>
      </c>
    </row>
    <row r="12" spans="1:13" ht="15.6">
      <c r="A12">
        <v>13</v>
      </c>
      <c r="B12" s="1" t="str">
        <f>VLOOKUP(A12,kategorie!$A$2:$B$99,2,FALSE())</f>
        <v>textil</v>
      </c>
      <c r="C12" s="46" t="s">
        <v>70</v>
      </c>
      <c r="D12" s="46">
        <v>46.35</v>
      </c>
      <c r="E12" s="46">
        <v>29.1</v>
      </c>
      <c r="F12" s="46">
        <v>17.399999999999999</v>
      </c>
      <c r="G12" s="46">
        <v>20.7</v>
      </c>
      <c r="H12" s="50">
        <v>25.4</v>
      </c>
      <c r="I12" s="46">
        <v>48.1</v>
      </c>
      <c r="J12" s="46">
        <v>32.1</v>
      </c>
      <c r="K12" s="46">
        <v>39.700000000000003</v>
      </c>
      <c r="L12" s="46">
        <v>26</v>
      </c>
      <c r="M12" s="46">
        <v>20.399999999999999</v>
      </c>
    </row>
    <row r="13" spans="1:13" ht="15.6">
      <c r="A13">
        <v>14</v>
      </c>
      <c r="B13" s="1" t="str">
        <f>VLOOKUP(A13,kategorie!$A$2:$B$99,2,FALSE())</f>
        <v>kov</v>
      </c>
      <c r="C13" s="46" t="s">
        <v>71</v>
      </c>
      <c r="D13" s="46">
        <v>11.85</v>
      </c>
      <c r="E13" s="46">
        <v>37.1</v>
      </c>
      <c r="F13" s="46">
        <v>8.75</v>
      </c>
      <c r="G13" s="46">
        <v>13.6</v>
      </c>
      <c r="H13" s="50">
        <v>19.399999999999999</v>
      </c>
      <c r="I13" s="46">
        <v>15.6</v>
      </c>
      <c r="J13" s="46">
        <v>10.9</v>
      </c>
      <c r="K13" s="46">
        <v>12.2</v>
      </c>
      <c r="L13" s="46">
        <v>7.8</v>
      </c>
      <c r="M13" s="46">
        <v>5.7</v>
      </c>
    </row>
    <row r="14" spans="1:13" ht="15.6">
      <c r="A14">
        <v>15</v>
      </c>
      <c r="B14" s="1" t="str">
        <f>VLOOKUP(A14,kategorie!$A$2:$B$99,2,FALSE())</f>
        <v>nápojový karton</v>
      </c>
      <c r="C14" s="46" t="s">
        <v>165</v>
      </c>
      <c r="D14" s="46">
        <v>4.95</v>
      </c>
      <c r="E14" s="46">
        <v>5.8</v>
      </c>
      <c r="F14" s="46">
        <v>1.95</v>
      </c>
      <c r="G14" s="46">
        <v>7.8</v>
      </c>
      <c r="H14" s="50">
        <v>7.7</v>
      </c>
      <c r="I14" s="46">
        <v>5.4</v>
      </c>
      <c r="J14" s="46">
        <v>3.2</v>
      </c>
      <c r="K14" s="46">
        <v>7.5</v>
      </c>
      <c r="L14" s="46">
        <v>3.7</v>
      </c>
      <c r="M14" s="46">
        <v>2.8</v>
      </c>
    </row>
    <row r="15" spans="1:13" ht="15.6">
      <c r="A15">
        <v>12</v>
      </c>
      <c r="B15" s="1" t="str">
        <f>VLOOKUP(A15,kategorie!$A$2:$B$99,2,FALSE())</f>
        <v>procesované dřevo</v>
      </c>
      <c r="C15" s="46" t="s">
        <v>166</v>
      </c>
      <c r="D15" s="46">
        <v>0</v>
      </c>
      <c r="E15" s="46">
        <v>0</v>
      </c>
      <c r="F15" s="46">
        <v>2.15</v>
      </c>
      <c r="G15" s="46">
        <v>12.8</v>
      </c>
      <c r="H15" s="50">
        <v>0</v>
      </c>
      <c r="I15" s="46">
        <v>57.8</v>
      </c>
      <c r="J15" s="46">
        <v>0</v>
      </c>
      <c r="K15" s="46">
        <v>0</v>
      </c>
      <c r="L15" s="46">
        <v>1.7</v>
      </c>
      <c r="M15" s="46">
        <v>0</v>
      </c>
    </row>
    <row r="16" spans="1:13" ht="15.6">
      <c r="A16">
        <v>16</v>
      </c>
      <c r="B16" s="1" t="str">
        <f>VLOOKUP(A16,kategorie!$A$2:$B$99,2,FALSE())</f>
        <v>stavební odpad</v>
      </c>
      <c r="C16" s="46" t="s">
        <v>74</v>
      </c>
      <c r="D16" s="46">
        <v>0</v>
      </c>
      <c r="E16" s="46">
        <v>43.5</v>
      </c>
      <c r="F16" s="46">
        <v>0</v>
      </c>
      <c r="G16" s="46">
        <v>0</v>
      </c>
      <c r="H16" s="50">
        <v>0</v>
      </c>
      <c r="I16" s="46">
        <v>29</v>
      </c>
      <c r="J16" s="46">
        <v>20.7</v>
      </c>
      <c r="K16" s="46">
        <v>17</v>
      </c>
      <c r="L16" s="46">
        <v>0</v>
      </c>
      <c r="M16" s="46">
        <v>11.6</v>
      </c>
    </row>
    <row r="17" spans="1:13" ht="15.6">
      <c r="A17">
        <v>18</v>
      </c>
      <c r="B17" s="1" t="str">
        <f>VLOOKUP(A17,kategorie!$A$2:$B$99,2,FALSE())</f>
        <v>infekční/neinfekční odpad</v>
      </c>
      <c r="C17" s="46" t="s">
        <v>75</v>
      </c>
      <c r="D17" s="46">
        <v>33.375</v>
      </c>
      <c r="E17" s="46">
        <v>38.200000000000003</v>
      </c>
      <c r="F17" s="46">
        <v>20.95</v>
      </c>
      <c r="G17" s="46">
        <v>64.400000000000006</v>
      </c>
      <c r="H17" s="50">
        <v>39</v>
      </c>
      <c r="I17" s="46">
        <v>30.8</v>
      </c>
      <c r="J17" s="46">
        <v>32.700000000000003</v>
      </c>
      <c r="K17" s="46">
        <v>30.8</v>
      </c>
      <c r="L17" s="46">
        <v>47.4</v>
      </c>
      <c r="M17" s="46">
        <v>26.5</v>
      </c>
    </row>
    <row r="18" spans="1:13" ht="15.6">
      <c r="A18">
        <v>19</v>
      </c>
      <c r="B18" s="1" t="str">
        <f>VLOOKUP(A18,kategorie!$A$2:$B$99,2,FALSE())</f>
        <v>popel</v>
      </c>
      <c r="C18" s="46" t="s">
        <v>76</v>
      </c>
      <c r="D18" s="46">
        <v>0</v>
      </c>
      <c r="E18" s="46">
        <v>0</v>
      </c>
      <c r="F18" s="46">
        <v>0</v>
      </c>
      <c r="G18" s="46">
        <v>0</v>
      </c>
      <c r="H18" s="50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</row>
    <row r="19" spans="1:13" ht="15.6">
      <c r="A19">
        <v>20</v>
      </c>
      <c r="B19" s="1" t="str">
        <f>VLOOKUP(A19,kategorie!$A$2:$B$99,2,FALSE())</f>
        <v>směsný komunální odpad</v>
      </c>
      <c r="C19" s="46" t="s">
        <v>77</v>
      </c>
      <c r="D19" s="46">
        <v>266.02499999999998</v>
      </c>
      <c r="E19" s="46">
        <v>75.3</v>
      </c>
      <c r="F19" s="46">
        <v>74.55</v>
      </c>
      <c r="G19" s="46">
        <v>85.9</v>
      </c>
      <c r="H19" s="50">
        <v>280.3</v>
      </c>
      <c r="I19" s="46">
        <v>95</v>
      </c>
      <c r="J19" s="46">
        <v>57.1</v>
      </c>
      <c r="K19" s="46">
        <v>45.8</v>
      </c>
      <c r="L19" s="46">
        <v>42.6</v>
      </c>
      <c r="M19" s="46">
        <v>52.1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8643B-4AE6-4232-9C28-208D017317C9}">
  <dimension ref="A1:Y20"/>
  <sheetViews>
    <sheetView workbookViewId="0">
      <selection activeCell="B1" sqref="B1:C1"/>
    </sheetView>
  </sheetViews>
  <sheetFormatPr defaultRowHeight="14.4"/>
  <cols>
    <col min="2" max="2" width="23.88671875" bestFit="1" customWidth="1"/>
    <col min="3" max="3" width="35.88671875" bestFit="1" customWidth="1"/>
    <col min="4" max="8" width="6.5546875" bestFit="1" customWidth="1"/>
    <col min="9" max="10" width="7.6640625" bestFit="1" customWidth="1"/>
    <col min="11" max="25" width="6.109375" bestFit="1" customWidth="1"/>
  </cols>
  <sheetData>
    <row r="1" spans="1:25">
      <c r="A1" s="10" t="s">
        <v>29</v>
      </c>
      <c r="B1" s="10" t="s">
        <v>334</v>
      </c>
      <c r="C1" s="38" t="s">
        <v>335</v>
      </c>
      <c r="D1" s="48" t="s">
        <v>205</v>
      </c>
      <c r="E1" s="48" t="s">
        <v>206</v>
      </c>
      <c r="F1" s="48" t="s">
        <v>207</v>
      </c>
      <c r="G1" s="48" t="s">
        <v>208</v>
      </c>
      <c r="H1" s="48" t="s">
        <v>209</v>
      </c>
      <c r="I1" s="48" t="s">
        <v>210</v>
      </c>
      <c r="J1" s="48" t="s">
        <v>211</v>
      </c>
      <c r="K1" s="48" t="s">
        <v>212</v>
      </c>
      <c r="L1" s="48" t="s">
        <v>213</v>
      </c>
      <c r="M1" s="48" t="s">
        <v>214</v>
      </c>
      <c r="N1" s="48" t="s">
        <v>215</v>
      </c>
      <c r="O1" s="48" t="s">
        <v>216</v>
      </c>
      <c r="P1" s="48" t="s">
        <v>217</v>
      </c>
      <c r="Q1" s="48" t="s">
        <v>218</v>
      </c>
      <c r="R1" s="48" t="s">
        <v>219</v>
      </c>
      <c r="S1" s="48" t="s">
        <v>220</v>
      </c>
      <c r="T1" s="48" t="s">
        <v>221</v>
      </c>
      <c r="U1" s="48" t="s">
        <v>222</v>
      </c>
      <c r="V1" s="48" t="s">
        <v>223</v>
      </c>
      <c r="W1" s="48" t="s">
        <v>224</v>
      </c>
      <c r="X1" s="48" t="s">
        <v>225</v>
      </c>
      <c r="Y1" s="48" t="s">
        <v>226</v>
      </c>
    </row>
    <row r="2" spans="1:25" ht="15.6">
      <c r="A2">
        <v>1</v>
      </c>
      <c r="B2" s="1" t="str">
        <f>VLOOKUP(A2,kategorie!$A$2:$B$99,2,FALSE())</f>
        <v>zahradní zeleň</v>
      </c>
      <c r="C2" s="45" t="s">
        <v>55</v>
      </c>
      <c r="D2" s="45">
        <v>45.2</v>
      </c>
      <c r="E2" s="45">
        <v>86.83</v>
      </c>
      <c r="F2" s="45">
        <v>67.400000000000006</v>
      </c>
      <c r="G2" s="45">
        <v>75.650000000000006</v>
      </c>
      <c r="H2" s="45">
        <v>74.8</v>
      </c>
      <c r="I2" s="45">
        <v>45.52</v>
      </c>
      <c r="J2" s="45">
        <v>103.28</v>
      </c>
      <c r="K2" s="45">
        <v>82.5</v>
      </c>
      <c r="L2" s="55">
        <v>129.04999999999998</v>
      </c>
      <c r="M2" s="56">
        <v>58.58</v>
      </c>
      <c r="N2" s="56">
        <v>142.32</v>
      </c>
      <c r="O2" s="56">
        <v>42.45</v>
      </c>
      <c r="P2" s="56">
        <v>149.4</v>
      </c>
      <c r="Q2" s="56">
        <v>84.53</v>
      </c>
      <c r="R2" s="56">
        <v>232.8</v>
      </c>
      <c r="S2" s="56">
        <v>127.26</v>
      </c>
      <c r="T2" s="56">
        <v>64.55</v>
      </c>
      <c r="U2" s="56">
        <v>83.5</v>
      </c>
      <c r="V2" s="56">
        <v>68.400000000000006</v>
      </c>
      <c r="W2" s="56">
        <v>97.4</v>
      </c>
      <c r="X2" s="56">
        <v>142.4</v>
      </c>
      <c r="Y2" s="56">
        <v>83.5</v>
      </c>
    </row>
    <row r="3" spans="1:25" ht="15.6">
      <c r="A3">
        <v>39</v>
      </c>
      <c r="B3" s="1" t="str">
        <f>VLOOKUP(A3,kategorie!$A$2:$B$99,2,FALSE())</f>
        <v>gastroodpad</v>
      </c>
      <c r="C3" s="45" t="s">
        <v>161</v>
      </c>
      <c r="D3" s="45">
        <v>31.85</v>
      </c>
      <c r="E3" s="45">
        <v>58.65</v>
      </c>
      <c r="F3" s="45">
        <v>40</v>
      </c>
      <c r="G3" s="45">
        <v>55.64</v>
      </c>
      <c r="H3" s="45">
        <v>46.8</v>
      </c>
      <c r="I3" s="45">
        <v>72.319999999999993</v>
      </c>
      <c r="J3" s="45">
        <v>35.78</v>
      </c>
      <c r="K3" s="45">
        <v>31.7</v>
      </c>
      <c r="L3" s="55">
        <v>26.05</v>
      </c>
      <c r="M3" s="56">
        <v>30.83</v>
      </c>
      <c r="N3" s="56">
        <v>38.479999999999997</v>
      </c>
      <c r="O3" s="56">
        <v>28.86</v>
      </c>
      <c r="P3" s="56">
        <v>46.7</v>
      </c>
      <c r="Q3" s="56">
        <v>43.43</v>
      </c>
      <c r="R3" s="56">
        <v>24.9</v>
      </c>
      <c r="S3" s="56">
        <v>43.56</v>
      </c>
      <c r="T3" s="56">
        <v>51.05</v>
      </c>
      <c r="U3" s="56">
        <v>28</v>
      </c>
      <c r="V3" s="56">
        <v>55.75</v>
      </c>
      <c r="W3" s="56">
        <v>80.099999999999994</v>
      </c>
      <c r="X3" s="56">
        <v>100.3</v>
      </c>
      <c r="Y3" s="56">
        <v>41.7</v>
      </c>
    </row>
    <row r="4" spans="1:25" ht="15.6">
      <c r="A4">
        <v>4</v>
      </c>
      <c r="B4" s="1" t="str">
        <f>VLOOKUP(A4,kategorie!$A$2:$B$99,2,FALSE())</f>
        <v>plast měkký</v>
      </c>
      <c r="C4" s="45" t="s">
        <v>57</v>
      </c>
      <c r="D4" s="45">
        <v>6.3</v>
      </c>
      <c r="E4" s="45">
        <v>6.65</v>
      </c>
      <c r="F4" s="45">
        <v>34.799999999999997</v>
      </c>
      <c r="G4" s="45">
        <v>27.6</v>
      </c>
      <c r="H4" s="45">
        <v>17.75</v>
      </c>
      <c r="I4" s="45">
        <v>11.04</v>
      </c>
      <c r="J4" s="45">
        <v>13.57</v>
      </c>
      <c r="K4" s="45">
        <v>25.7</v>
      </c>
      <c r="L4" s="55">
        <v>29.15</v>
      </c>
      <c r="M4" s="56">
        <v>11.03</v>
      </c>
      <c r="N4" s="56">
        <v>17.28</v>
      </c>
      <c r="O4" s="56">
        <v>19.760000000000002</v>
      </c>
      <c r="P4" s="56">
        <v>10.6</v>
      </c>
      <c r="Q4" s="56">
        <v>15.53</v>
      </c>
      <c r="R4" s="56">
        <v>6.8</v>
      </c>
      <c r="S4" s="56">
        <v>18.66</v>
      </c>
      <c r="T4" s="56">
        <v>12.3</v>
      </c>
      <c r="U4" s="56">
        <v>3.35</v>
      </c>
      <c r="V4" s="56">
        <v>21.3</v>
      </c>
      <c r="W4" s="56">
        <v>34.700000000000003</v>
      </c>
      <c r="X4" s="56">
        <v>38.200000000000003</v>
      </c>
      <c r="Y4" s="56">
        <v>10.5</v>
      </c>
    </row>
    <row r="5" spans="1:25" ht="15.6">
      <c r="A5">
        <v>5</v>
      </c>
      <c r="B5" s="1" t="str">
        <f>VLOOKUP(A5,kategorie!$A$2:$B$99,2,FALSE())</f>
        <v>plastové folie</v>
      </c>
      <c r="C5" s="45" t="s">
        <v>59</v>
      </c>
      <c r="D5" s="45">
        <v>11.65</v>
      </c>
      <c r="E5" s="45">
        <v>9.8000000000000007</v>
      </c>
      <c r="F5" s="45">
        <v>13</v>
      </c>
      <c r="G5" s="45">
        <v>11.35</v>
      </c>
      <c r="H5" s="45">
        <v>8.9499999999999993</v>
      </c>
      <c r="I5" s="45">
        <v>5.04</v>
      </c>
      <c r="J5" s="45">
        <v>6.41</v>
      </c>
      <c r="K5" s="45">
        <v>7.7</v>
      </c>
      <c r="L5" s="55">
        <v>5</v>
      </c>
      <c r="M5" s="56">
        <v>5.0999999999999996</v>
      </c>
      <c r="N5" s="56">
        <v>0</v>
      </c>
      <c r="O5" s="56">
        <v>4.3600000000000003</v>
      </c>
      <c r="P5" s="56">
        <v>11.1</v>
      </c>
      <c r="Q5" s="56">
        <v>6.9</v>
      </c>
      <c r="R5" s="56">
        <v>24.75</v>
      </c>
      <c r="S5" s="56">
        <v>8.4600000000000009</v>
      </c>
      <c r="T5" s="56">
        <v>4.1500000000000004</v>
      </c>
      <c r="U5" s="56">
        <v>12.7</v>
      </c>
      <c r="V5" s="56">
        <v>25.1</v>
      </c>
      <c r="W5" s="56">
        <v>22.7</v>
      </c>
      <c r="X5" s="56">
        <v>16.3</v>
      </c>
      <c r="Y5" s="56">
        <v>5.9</v>
      </c>
    </row>
    <row r="6" spans="1:25" ht="15.6">
      <c r="A6">
        <v>6</v>
      </c>
      <c r="B6" s="1" t="str">
        <f>VLOOKUP(A6,kategorie!$A$2:$B$99,2,FALSE())</f>
        <v>PET lahve</v>
      </c>
      <c r="C6" s="45" t="s">
        <v>60</v>
      </c>
      <c r="D6" s="45">
        <v>6.85</v>
      </c>
      <c r="E6" s="45">
        <v>2.1</v>
      </c>
      <c r="F6" s="45">
        <v>9.1999999999999993</v>
      </c>
      <c r="G6" s="45">
        <v>5.25</v>
      </c>
      <c r="H6" s="45">
        <v>11.45</v>
      </c>
      <c r="I6" s="45">
        <v>3.92</v>
      </c>
      <c r="J6" s="45">
        <v>5.81</v>
      </c>
      <c r="K6" s="45">
        <v>10.199999999999999</v>
      </c>
      <c r="L6" s="55">
        <v>5.05</v>
      </c>
      <c r="M6" s="56">
        <v>6.83</v>
      </c>
      <c r="N6" s="56">
        <v>6</v>
      </c>
      <c r="O6" s="56">
        <v>5.53</v>
      </c>
      <c r="P6" s="56">
        <v>6.7</v>
      </c>
      <c r="Q6" s="56">
        <v>2.85</v>
      </c>
      <c r="R6" s="56">
        <v>2.75</v>
      </c>
      <c r="S6" s="56">
        <v>3.6</v>
      </c>
      <c r="T6" s="56">
        <v>2.85</v>
      </c>
      <c r="U6" s="56">
        <v>1.1499999999999999</v>
      </c>
      <c r="V6" s="56">
        <v>6.05</v>
      </c>
      <c r="W6" s="56">
        <v>11.4</v>
      </c>
      <c r="X6" s="56">
        <v>3.6</v>
      </c>
      <c r="Y6" s="56">
        <v>4.9000000000000004</v>
      </c>
    </row>
    <row r="7" spans="1:25" ht="15.6">
      <c r="A7">
        <v>7</v>
      </c>
      <c r="B7" s="1" t="str">
        <f>VLOOKUP(A7,kategorie!$A$2:$B$99,2,FALSE())</f>
        <v>HDP tvrdé plasty</v>
      </c>
      <c r="C7" s="45" t="s">
        <v>61</v>
      </c>
      <c r="D7" s="45">
        <v>4.4000000000000004</v>
      </c>
      <c r="E7" s="45">
        <v>3.8</v>
      </c>
      <c r="F7" s="45">
        <v>16</v>
      </c>
      <c r="G7" s="45">
        <v>6.7</v>
      </c>
      <c r="H7" s="45">
        <v>8.15</v>
      </c>
      <c r="I7" s="45">
        <v>5.6</v>
      </c>
      <c r="J7" s="45">
        <v>19.579999999999998</v>
      </c>
      <c r="K7" s="45">
        <v>13.5</v>
      </c>
      <c r="L7" s="55">
        <v>7.1000000000000005</v>
      </c>
      <c r="M7" s="56">
        <v>6</v>
      </c>
      <c r="N7" s="56">
        <v>1.76</v>
      </c>
      <c r="O7" s="56">
        <v>2.6</v>
      </c>
      <c r="P7" s="56">
        <v>5.5</v>
      </c>
      <c r="Q7" s="56">
        <v>6.68</v>
      </c>
      <c r="R7" s="56">
        <v>3.65</v>
      </c>
      <c r="S7" s="56">
        <v>5.46</v>
      </c>
      <c r="T7" s="56">
        <v>2.15</v>
      </c>
      <c r="U7" s="56">
        <v>6.85</v>
      </c>
      <c r="V7" s="56">
        <v>2.5499999999999998</v>
      </c>
      <c r="W7" s="56">
        <v>52.1</v>
      </c>
      <c r="X7" s="56">
        <v>8.6</v>
      </c>
      <c r="Y7" s="56">
        <v>6.4</v>
      </c>
    </row>
    <row r="8" spans="1:25" ht="15.6">
      <c r="A8">
        <v>9</v>
      </c>
      <c r="B8" s="1" t="str">
        <f>VLOOKUP(A8,kategorie!$A$2:$B$99,2,FALSE())</f>
        <v>lepenka, karton</v>
      </c>
      <c r="C8" s="45" t="s">
        <v>169</v>
      </c>
      <c r="D8" s="45">
        <v>2.6</v>
      </c>
      <c r="E8" s="45">
        <v>3.05</v>
      </c>
      <c r="F8" s="45">
        <v>64.400000000000006</v>
      </c>
      <c r="G8" s="45">
        <v>21.65</v>
      </c>
      <c r="H8" s="45">
        <v>8.5</v>
      </c>
      <c r="I8" s="45">
        <v>3.52</v>
      </c>
      <c r="J8" s="45">
        <v>23.29</v>
      </c>
      <c r="K8" s="45">
        <v>31.7</v>
      </c>
      <c r="L8" s="55">
        <v>0</v>
      </c>
      <c r="M8" s="56">
        <v>4.58</v>
      </c>
      <c r="N8" s="56">
        <v>0</v>
      </c>
      <c r="O8" s="56">
        <v>6.57</v>
      </c>
      <c r="P8" s="56">
        <v>10.1</v>
      </c>
      <c r="Q8" s="56">
        <v>4.2</v>
      </c>
      <c r="R8" s="56">
        <v>5.75</v>
      </c>
      <c r="S8" s="56">
        <v>21</v>
      </c>
      <c r="T8" s="56">
        <v>1.65</v>
      </c>
      <c r="U8" s="56">
        <v>1.35</v>
      </c>
      <c r="V8" s="56">
        <v>3.3</v>
      </c>
      <c r="W8" s="56">
        <v>27.8</v>
      </c>
      <c r="X8" s="56">
        <v>4.5999999999999996</v>
      </c>
      <c r="Y8" s="56">
        <v>8.1</v>
      </c>
    </row>
    <row r="9" spans="1:25" ht="15.6">
      <c r="A9">
        <v>8</v>
      </c>
      <c r="B9" s="1" t="str">
        <f>VLOOKUP(A9,kategorie!$A$2:$B$99,2,FALSE())</f>
        <v>papír, tiskoviny</v>
      </c>
      <c r="C9" s="45" t="s">
        <v>163</v>
      </c>
      <c r="D9" s="45">
        <v>13</v>
      </c>
      <c r="E9" s="45">
        <v>16.95</v>
      </c>
      <c r="F9" s="45">
        <v>0</v>
      </c>
      <c r="G9" s="45">
        <v>0</v>
      </c>
      <c r="H9" s="45">
        <v>12.6</v>
      </c>
      <c r="I9" s="45">
        <v>14.88</v>
      </c>
      <c r="J9" s="45">
        <v>0</v>
      </c>
      <c r="K9" s="45">
        <v>0</v>
      </c>
      <c r="L9" s="55">
        <v>19.75</v>
      </c>
      <c r="M9" s="56">
        <v>12.3</v>
      </c>
      <c r="N9" s="56">
        <v>11.52</v>
      </c>
      <c r="O9" s="56">
        <v>14.11</v>
      </c>
      <c r="P9" s="56">
        <v>17.600000000000001</v>
      </c>
      <c r="Q9" s="56">
        <v>16.28</v>
      </c>
      <c r="R9" s="56">
        <v>18.95</v>
      </c>
      <c r="S9" s="56">
        <v>15.36</v>
      </c>
      <c r="T9" s="56">
        <v>10.9</v>
      </c>
      <c r="U9" s="56">
        <v>16.100000000000001</v>
      </c>
      <c r="V9" s="56">
        <v>18.850000000000001</v>
      </c>
      <c r="W9" s="56">
        <v>32.4</v>
      </c>
      <c r="X9" s="56">
        <v>31</v>
      </c>
      <c r="Y9" s="56">
        <v>14.3</v>
      </c>
    </row>
    <row r="10" spans="1:25" ht="15.6">
      <c r="A10">
        <v>10</v>
      </c>
      <c r="B10" s="1" t="str">
        <f>VLOOKUP(A10,kategorie!$A$2:$B$99,2,FALSE())</f>
        <v>sklo</v>
      </c>
      <c r="C10" s="45" t="s">
        <v>64</v>
      </c>
      <c r="D10" s="45">
        <v>17.399999999999999</v>
      </c>
      <c r="E10" s="45">
        <v>13.9</v>
      </c>
      <c r="F10" s="45">
        <v>34</v>
      </c>
      <c r="G10" s="45">
        <v>17.2</v>
      </c>
      <c r="H10" s="45">
        <v>29.25</v>
      </c>
      <c r="I10" s="45">
        <v>9.52</v>
      </c>
      <c r="J10" s="45">
        <v>37.33</v>
      </c>
      <c r="K10" s="45">
        <v>28.1</v>
      </c>
      <c r="L10" s="55">
        <v>24.9</v>
      </c>
      <c r="M10" s="56">
        <v>47.55</v>
      </c>
      <c r="N10" s="56">
        <v>10.24</v>
      </c>
      <c r="O10" s="56">
        <v>9.17</v>
      </c>
      <c r="P10" s="56">
        <v>19.5</v>
      </c>
      <c r="Q10" s="56">
        <v>15.53</v>
      </c>
      <c r="R10" s="56">
        <v>11.1</v>
      </c>
      <c r="S10" s="56">
        <v>19.5</v>
      </c>
      <c r="T10" s="56">
        <v>15.5</v>
      </c>
      <c r="U10" s="56">
        <v>17.100000000000001</v>
      </c>
      <c r="V10" s="56">
        <v>11.7</v>
      </c>
      <c r="W10" s="56">
        <v>45.9</v>
      </c>
      <c r="X10" s="56">
        <v>41.8</v>
      </c>
      <c r="Y10" s="56">
        <v>31.9</v>
      </c>
    </row>
    <row r="11" spans="1:25" ht="15.6">
      <c r="A11">
        <v>11</v>
      </c>
      <c r="B11" s="1" t="str">
        <f>VLOOKUP(A11,kategorie!$A$2:$B$99,2,FALSE())</f>
        <v>elektroodpad</v>
      </c>
      <c r="C11" s="45" t="s">
        <v>164</v>
      </c>
      <c r="D11" s="45">
        <v>2</v>
      </c>
      <c r="E11" s="45">
        <v>3.4</v>
      </c>
      <c r="F11" s="45">
        <v>2.4</v>
      </c>
      <c r="G11" s="45">
        <v>1.55</v>
      </c>
      <c r="H11" s="45">
        <v>1.65</v>
      </c>
      <c r="I11" s="45">
        <v>25.6</v>
      </c>
      <c r="J11" s="45">
        <v>13.97</v>
      </c>
      <c r="K11" s="45">
        <v>5</v>
      </c>
      <c r="L11" s="55">
        <v>12</v>
      </c>
      <c r="M11" s="56">
        <v>6.98</v>
      </c>
      <c r="N11" s="56">
        <v>1.44</v>
      </c>
      <c r="O11" s="56">
        <v>4.8099999999999996</v>
      </c>
      <c r="P11" s="56">
        <v>1.5</v>
      </c>
      <c r="Q11" s="56">
        <v>1.5</v>
      </c>
      <c r="R11" s="56">
        <v>1.5</v>
      </c>
      <c r="S11" s="56">
        <v>0.6</v>
      </c>
      <c r="T11" s="56">
        <v>10.35</v>
      </c>
      <c r="U11" s="56">
        <v>4.25</v>
      </c>
      <c r="V11" s="56">
        <v>1.25</v>
      </c>
      <c r="W11" s="56">
        <v>10.199999999999999</v>
      </c>
      <c r="X11" s="56">
        <v>5.0999999999999996</v>
      </c>
      <c r="Y11" s="56">
        <v>2.5</v>
      </c>
    </row>
    <row r="12" spans="1:25" ht="15.6">
      <c r="A12">
        <v>13</v>
      </c>
      <c r="B12" s="1" t="str">
        <f>VLOOKUP(A12,kategorie!$A$2:$B$99,2,FALSE())</f>
        <v>textil</v>
      </c>
      <c r="C12" s="45" t="s">
        <v>70</v>
      </c>
      <c r="D12" s="45">
        <v>31.65</v>
      </c>
      <c r="E12" s="45">
        <v>15.9</v>
      </c>
      <c r="F12" s="45">
        <v>36</v>
      </c>
      <c r="G12" s="45">
        <v>45.85</v>
      </c>
      <c r="H12" s="45">
        <v>21.15</v>
      </c>
      <c r="I12" s="45">
        <v>22.8</v>
      </c>
      <c r="J12" s="45">
        <v>53.06</v>
      </c>
      <c r="K12" s="45">
        <v>36.5</v>
      </c>
      <c r="L12" s="55">
        <v>18.2</v>
      </c>
      <c r="M12" s="56">
        <v>39.53</v>
      </c>
      <c r="N12" s="56">
        <v>23.04</v>
      </c>
      <c r="O12" s="56">
        <v>36.76</v>
      </c>
      <c r="P12" s="56">
        <v>19.8</v>
      </c>
      <c r="Q12" s="56">
        <v>12.53</v>
      </c>
      <c r="R12" s="56">
        <v>21.25</v>
      </c>
      <c r="S12" s="56">
        <v>14.28</v>
      </c>
      <c r="T12" s="56">
        <v>8.75</v>
      </c>
      <c r="U12" s="56">
        <v>23.1</v>
      </c>
      <c r="V12" s="56">
        <v>22.6</v>
      </c>
      <c r="W12" s="56">
        <v>42.6</v>
      </c>
      <c r="X12" s="56">
        <v>27.4</v>
      </c>
      <c r="Y12" s="56">
        <v>26.8</v>
      </c>
    </row>
    <row r="13" spans="1:25" ht="15.6">
      <c r="A13">
        <v>14</v>
      </c>
      <c r="B13" s="1" t="str">
        <f>VLOOKUP(A13,kategorie!$A$2:$B$99,2,FALSE())</f>
        <v>kov</v>
      </c>
      <c r="C13" s="45" t="s">
        <v>71</v>
      </c>
      <c r="D13" s="45">
        <v>8.4499999999999993</v>
      </c>
      <c r="E13" s="45">
        <v>12.45</v>
      </c>
      <c r="F13" s="45">
        <v>14</v>
      </c>
      <c r="G13" s="45">
        <v>20.75</v>
      </c>
      <c r="H13" s="45">
        <v>10.4</v>
      </c>
      <c r="I13" s="45">
        <v>5.28</v>
      </c>
      <c r="J13" s="45">
        <v>12.62</v>
      </c>
      <c r="K13" s="45">
        <v>15.9</v>
      </c>
      <c r="L13" s="55">
        <v>14.8</v>
      </c>
      <c r="M13" s="56">
        <v>10.8</v>
      </c>
      <c r="N13" s="56">
        <v>8.24</v>
      </c>
      <c r="O13" s="56">
        <v>11.83</v>
      </c>
      <c r="P13" s="56">
        <v>13.4</v>
      </c>
      <c r="Q13" s="56">
        <v>9.6</v>
      </c>
      <c r="R13" s="56">
        <v>12.05</v>
      </c>
      <c r="S13" s="56">
        <v>7.5</v>
      </c>
      <c r="T13" s="56">
        <v>6.35</v>
      </c>
      <c r="U13" s="56">
        <v>10.75</v>
      </c>
      <c r="V13" s="56">
        <v>6.45</v>
      </c>
      <c r="W13" s="56">
        <v>13</v>
      </c>
      <c r="X13" s="56">
        <v>11.7</v>
      </c>
      <c r="Y13" s="56">
        <v>11.4</v>
      </c>
    </row>
    <row r="14" spans="1:25" ht="15.6">
      <c r="A14">
        <v>15</v>
      </c>
      <c r="B14" s="1" t="str">
        <f>VLOOKUP(A14,kategorie!$A$2:$B$99,2,FALSE())</f>
        <v>nápojový karton</v>
      </c>
      <c r="C14" s="45" t="s">
        <v>165</v>
      </c>
      <c r="D14" s="45">
        <v>2.2999999999999998</v>
      </c>
      <c r="E14" s="45">
        <v>2.9</v>
      </c>
      <c r="F14" s="45">
        <v>5</v>
      </c>
      <c r="G14" s="45">
        <v>4.9000000000000004</v>
      </c>
      <c r="H14" s="45">
        <v>4.3</v>
      </c>
      <c r="I14" s="45">
        <v>2.08</v>
      </c>
      <c r="J14" s="45">
        <v>3.38</v>
      </c>
      <c r="K14" s="45">
        <v>7.9</v>
      </c>
      <c r="L14" s="55">
        <v>4.3499999999999996</v>
      </c>
      <c r="M14" s="56">
        <v>3.68</v>
      </c>
      <c r="N14" s="56">
        <v>4.24</v>
      </c>
      <c r="O14" s="56">
        <v>4.62</v>
      </c>
      <c r="P14" s="56">
        <v>4.7</v>
      </c>
      <c r="Q14" s="56">
        <v>5.93</v>
      </c>
      <c r="R14" s="56">
        <v>5.4</v>
      </c>
      <c r="S14" s="56">
        <v>2.04</v>
      </c>
      <c r="T14" s="56">
        <v>2.1</v>
      </c>
      <c r="U14" s="56">
        <v>3.85</v>
      </c>
      <c r="V14" s="56">
        <v>5.3</v>
      </c>
      <c r="W14" s="56">
        <v>5.3</v>
      </c>
      <c r="X14" s="56">
        <v>5.2</v>
      </c>
      <c r="Y14" s="56">
        <v>4.0999999999999996</v>
      </c>
    </row>
    <row r="15" spans="1:25" ht="15.6">
      <c r="A15">
        <v>12</v>
      </c>
      <c r="B15" s="1" t="str">
        <f>VLOOKUP(A15,kategorie!$A$2:$B$99,2,FALSE())</f>
        <v>procesované dřevo</v>
      </c>
      <c r="C15" s="45" t="s">
        <v>166</v>
      </c>
      <c r="D15" s="45">
        <v>0.8</v>
      </c>
      <c r="E15" s="45">
        <v>0</v>
      </c>
      <c r="F15" s="45">
        <v>0</v>
      </c>
      <c r="G15" s="45">
        <v>6.5</v>
      </c>
      <c r="H15" s="45">
        <v>12</v>
      </c>
      <c r="I15" s="45">
        <v>0</v>
      </c>
      <c r="J15" s="45">
        <v>0</v>
      </c>
      <c r="K15" s="45">
        <v>0</v>
      </c>
      <c r="L15" s="57">
        <v>0</v>
      </c>
      <c r="M15" s="56">
        <v>3.15</v>
      </c>
      <c r="N15" s="56">
        <v>0</v>
      </c>
      <c r="O15" s="56">
        <v>0</v>
      </c>
      <c r="P15" s="56">
        <v>2</v>
      </c>
      <c r="Q15" s="56">
        <v>0</v>
      </c>
      <c r="R15" s="56">
        <v>2.2000000000000002</v>
      </c>
      <c r="S15" s="56">
        <v>0</v>
      </c>
      <c r="T15" s="56">
        <v>0</v>
      </c>
      <c r="U15" s="56">
        <v>1.4</v>
      </c>
      <c r="V15" s="56">
        <v>0</v>
      </c>
      <c r="W15" s="56">
        <v>0</v>
      </c>
      <c r="X15" s="56">
        <v>13.1</v>
      </c>
      <c r="Y15" s="56">
        <v>0</v>
      </c>
    </row>
    <row r="16" spans="1:25" ht="15.6">
      <c r="A16">
        <v>16</v>
      </c>
      <c r="B16" s="1" t="str">
        <f>VLOOKUP(A16,kategorie!$A$2:$B$99,2,FALSE())</f>
        <v>stavební odpad</v>
      </c>
      <c r="C16" s="45" t="s">
        <v>74</v>
      </c>
      <c r="D16" s="45">
        <v>2.2000000000000002</v>
      </c>
      <c r="E16" s="45">
        <v>38.54</v>
      </c>
      <c r="F16" s="45">
        <v>53</v>
      </c>
      <c r="G16" s="45">
        <v>0</v>
      </c>
      <c r="H16" s="45">
        <v>0</v>
      </c>
      <c r="I16" s="45">
        <v>21.76</v>
      </c>
      <c r="J16" s="45">
        <v>0</v>
      </c>
      <c r="K16" s="45">
        <v>0</v>
      </c>
      <c r="L16" s="55">
        <v>26</v>
      </c>
      <c r="M16" s="55">
        <f>16.73</f>
        <v>16.73</v>
      </c>
      <c r="N16" s="56">
        <v>0</v>
      </c>
      <c r="O16" s="56">
        <v>82.62</v>
      </c>
      <c r="P16" s="56">
        <v>13.2</v>
      </c>
      <c r="Q16" s="56">
        <v>0</v>
      </c>
      <c r="R16" s="56">
        <v>8.9</v>
      </c>
      <c r="S16" s="56">
        <v>0</v>
      </c>
      <c r="T16" s="56">
        <v>16.350000000000001</v>
      </c>
      <c r="U16" s="56">
        <v>8.1</v>
      </c>
      <c r="V16" s="56">
        <v>5.65</v>
      </c>
      <c r="W16" s="56">
        <v>4.0999999999999996</v>
      </c>
      <c r="X16" s="56">
        <v>7.9</v>
      </c>
      <c r="Y16" s="56">
        <v>0</v>
      </c>
    </row>
    <row r="17" spans="1:25" ht="15.6">
      <c r="A17">
        <v>18</v>
      </c>
      <c r="B17" s="1" t="str">
        <f>VLOOKUP(A17,kategorie!$A$2:$B$99,2,FALSE())</f>
        <v>infekční/neinfekční odpad</v>
      </c>
      <c r="C17" s="45" t="s">
        <v>75</v>
      </c>
      <c r="D17" s="45">
        <v>26.8</v>
      </c>
      <c r="E17" s="45">
        <v>44</v>
      </c>
      <c r="F17" s="45">
        <v>17</v>
      </c>
      <c r="G17" s="45">
        <v>40.25</v>
      </c>
      <c r="H17" s="45">
        <v>38</v>
      </c>
      <c r="I17" s="45">
        <v>22.16</v>
      </c>
      <c r="J17" s="45">
        <v>38.75</v>
      </c>
      <c r="K17" s="45">
        <v>49.8</v>
      </c>
      <c r="L17" s="45">
        <v>21.3</v>
      </c>
      <c r="M17" s="56">
        <v>35.18</v>
      </c>
      <c r="N17" s="56">
        <v>33.520000000000003</v>
      </c>
      <c r="O17" s="56">
        <v>46.54</v>
      </c>
      <c r="P17" s="56">
        <v>20.6</v>
      </c>
      <c r="Q17" s="56">
        <v>57.9</v>
      </c>
      <c r="R17" s="56">
        <v>46.8</v>
      </c>
      <c r="S17" s="56">
        <v>28.86</v>
      </c>
      <c r="T17" s="56">
        <v>70.05</v>
      </c>
      <c r="U17" s="56">
        <v>65.900000000000006</v>
      </c>
      <c r="V17" s="56">
        <v>48.05</v>
      </c>
      <c r="W17" s="56">
        <v>65</v>
      </c>
      <c r="X17" s="56">
        <v>78.599999999999994</v>
      </c>
      <c r="Y17" s="56">
        <v>19.100000000000001</v>
      </c>
    </row>
    <row r="18" spans="1:25" ht="15.6">
      <c r="A18">
        <v>49</v>
      </c>
      <c r="B18" s="1" t="str">
        <f>VLOOKUP(A18,kategorie!$A$2:$B$99,2,FALSE())</f>
        <v>popel/nebezpečný odpad</v>
      </c>
      <c r="C18" s="45" t="s">
        <v>170</v>
      </c>
      <c r="D18" s="45">
        <v>28.05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55">
        <v>0</v>
      </c>
      <c r="M18" s="56">
        <v>1.05</v>
      </c>
      <c r="N18" s="56">
        <v>0.8</v>
      </c>
      <c r="O18" s="56">
        <v>0</v>
      </c>
      <c r="P18" s="56">
        <v>0</v>
      </c>
      <c r="Q18" s="56">
        <v>1.7</v>
      </c>
      <c r="R18" s="56">
        <v>0</v>
      </c>
      <c r="S18" s="56">
        <v>0</v>
      </c>
      <c r="T18" s="56">
        <v>0</v>
      </c>
      <c r="U18" s="56">
        <v>0</v>
      </c>
      <c r="V18" s="56">
        <v>71.849999999999994</v>
      </c>
      <c r="W18" s="56">
        <v>8.6999999999999993</v>
      </c>
      <c r="X18" s="56">
        <v>0</v>
      </c>
      <c r="Y18" s="56">
        <v>0</v>
      </c>
    </row>
    <row r="19" spans="1:25" ht="15.6">
      <c r="A19">
        <v>20</v>
      </c>
      <c r="B19" s="1" t="str">
        <f>VLOOKUP(A19,kategorie!$A$2:$B$99,2,FALSE())</f>
        <v>směsný komunální odpad</v>
      </c>
      <c r="C19" s="45" t="s">
        <v>77</v>
      </c>
      <c r="D19" s="45">
        <v>42.95</v>
      </c>
      <c r="E19" s="45">
        <v>75.25</v>
      </c>
      <c r="F19" s="45">
        <v>162.6</v>
      </c>
      <c r="G19" s="45">
        <v>117.4</v>
      </c>
      <c r="H19" s="45">
        <v>60.22</v>
      </c>
      <c r="I19" s="45">
        <v>103.04</v>
      </c>
      <c r="J19" s="45">
        <v>96.66</v>
      </c>
      <c r="K19" s="45">
        <v>56.6</v>
      </c>
      <c r="L19" s="55">
        <v>27.35</v>
      </c>
      <c r="M19" s="56">
        <v>44.85</v>
      </c>
      <c r="N19" s="56">
        <v>30.48</v>
      </c>
      <c r="O19" s="56">
        <v>53.37</v>
      </c>
      <c r="P19" s="56">
        <v>42.5</v>
      </c>
      <c r="Q19" s="56">
        <v>53.55</v>
      </c>
      <c r="R19" s="56">
        <v>84.5</v>
      </c>
      <c r="S19" s="56">
        <v>56.46</v>
      </c>
      <c r="T19" s="56">
        <v>20.399999999999999</v>
      </c>
      <c r="U19" s="56">
        <v>39</v>
      </c>
      <c r="V19" s="56">
        <v>41.1</v>
      </c>
      <c r="W19" s="56">
        <v>56.1</v>
      </c>
      <c r="X19" s="56">
        <v>80.3</v>
      </c>
      <c r="Y19" s="56">
        <v>130</v>
      </c>
    </row>
    <row r="20" spans="1:25" ht="15.6">
      <c r="A20">
        <v>50</v>
      </c>
      <c r="B20" s="1" t="str">
        <f>VLOOKUP(A20,kategorie!$A$2:$B$99,2,FALSE())</f>
        <v xml:space="preserve">směsný komunální odpad pod sítem </v>
      </c>
      <c r="C20" s="45" t="s">
        <v>171</v>
      </c>
      <c r="D20" s="45">
        <v>0</v>
      </c>
      <c r="E20" s="45">
        <v>0</v>
      </c>
      <c r="F20" s="45">
        <v>54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55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EAC4E-7B80-4B60-AD4B-F908AD4B6E06}">
  <dimension ref="A1:K20"/>
  <sheetViews>
    <sheetView workbookViewId="0">
      <selection activeCell="B1" sqref="B1:C1"/>
    </sheetView>
  </sheetViews>
  <sheetFormatPr defaultRowHeight="14.4"/>
  <cols>
    <col min="2" max="2" width="33" bestFit="1" customWidth="1"/>
    <col min="3" max="3" width="36.109375" bestFit="1" customWidth="1"/>
    <col min="4" max="4" width="6.5546875" bestFit="1" customWidth="1"/>
    <col min="5" max="5" width="7.6640625" bestFit="1" customWidth="1"/>
    <col min="6" max="9" width="6.5546875" bestFit="1" customWidth="1"/>
    <col min="10" max="10" width="7" bestFit="1" customWidth="1"/>
    <col min="11" max="11" width="6.5546875" bestFit="1" customWidth="1"/>
  </cols>
  <sheetData>
    <row r="1" spans="1:11">
      <c r="A1" s="10" t="s">
        <v>29</v>
      </c>
      <c r="B1" s="10" t="s">
        <v>334</v>
      </c>
      <c r="C1" s="38" t="s">
        <v>335</v>
      </c>
      <c r="D1" s="48" t="s">
        <v>236</v>
      </c>
      <c r="E1" s="48" t="s">
        <v>237</v>
      </c>
      <c r="F1" s="48" t="s">
        <v>238</v>
      </c>
      <c r="G1" s="48" t="s">
        <v>239</v>
      </c>
      <c r="H1" s="48" t="s">
        <v>240</v>
      </c>
      <c r="I1" s="48" t="s">
        <v>241</v>
      </c>
      <c r="J1" s="48" t="s">
        <v>242</v>
      </c>
      <c r="K1" s="48" t="s">
        <v>243</v>
      </c>
    </row>
    <row r="2" spans="1:11">
      <c r="A2">
        <v>1</v>
      </c>
      <c r="B2" s="1" t="str">
        <f>VLOOKUP(A2,kategorie!$A$2:$B$99,2,FALSE())</f>
        <v>zahradní zeleň</v>
      </c>
      <c r="C2" s="42" t="s">
        <v>55</v>
      </c>
      <c r="D2" s="42">
        <v>75</v>
      </c>
      <c r="E2" s="42">
        <v>104.95</v>
      </c>
      <c r="F2" s="42">
        <v>62.15</v>
      </c>
      <c r="G2" s="42">
        <v>117.3</v>
      </c>
      <c r="H2" s="42">
        <v>32.85</v>
      </c>
      <c r="I2" s="42">
        <v>73.099999999999994</v>
      </c>
      <c r="J2" s="42">
        <v>169.95</v>
      </c>
      <c r="K2" s="42">
        <v>105.6</v>
      </c>
    </row>
    <row r="3" spans="1:11">
      <c r="A3">
        <v>39</v>
      </c>
      <c r="B3" s="1" t="str">
        <f>VLOOKUP(A3,kategorie!$A$2:$B$99,2,FALSE())</f>
        <v>gastroodpad</v>
      </c>
      <c r="C3" s="42" t="s">
        <v>161</v>
      </c>
      <c r="D3" s="42">
        <v>60.9</v>
      </c>
      <c r="E3" s="42">
        <v>17.3</v>
      </c>
      <c r="F3" s="42">
        <v>73.400000000000006</v>
      </c>
      <c r="G3" s="42">
        <v>62.2</v>
      </c>
      <c r="H3" s="42">
        <v>28.6</v>
      </c>
      <c r="I3" s="42">
        <v>57.7</v>
      </c>
      <c r="J3" s="42">
        <v>75.95</v>
      </c>
      <c r="K3" s="42">
        <v>26.2</v>
      </c>
    </row>
    <row r="4" spans="1:11">
      <c r="A4">
        <v>4</v>
      </c>
      <c r="B4" s="1" t="str">
        <f>VLOOKUP(A4,kategorie!$A$2:$B$99,2,FALSE())</f>
        <v>plast měkký</v>
      </c>
      <c r="C4" s="42" t="s">
        <v>57</v>
      </c>
      <c r="D4" s="42">
        <v>15.35</v>
      </c>
      <c r="E4" s="42">
        <v>14.45</v>
      </c>
      <c r="F4" s="42">
        <v>9.6</v>
      </c>
      <c r="G4" s="42">
        <v>11.25</v>
      </c>
      <c r="H4" s="42">
        <v>18.7</v>
      </c>
      <c r="I4" s="42">
        <v>13.1</v>
      </c>
      <c r="J4" s="42">
        <v>14.4</v>
      </c>
      <c r="K4" s="42">
        <v>14.3</v>
      </c>
    </row>
    <row r="5" spans="1:11">
      <c r="A5">
        <v>5</v>
      </c>
      <c r="B5" s="1" t="str">
        <f>VLOOKUP(A5,kategorie!$A$2:$B$99,2,FALSE())</f>
        <v>plastové folie</v>
      </c>
      <c r="C5" s="42" t="s">
        <v>59</v>
      </c>
      <c r="D5" s="42">
        <v>11.75</v>
      </c>
      <c r="E5" s="42">
        <v>15.05</v>
      </c>
      <c r="F5" s="42">
        <v>6.9</v>
      </c>
      <c r="G5" s="42">
        <v>18.95</v>
      </c>
      <c r="H5" s="42">
        <v>15</v>
      </c>
      <c r="I5" s="42">
        <v>4.3499999999999996</v>
      </c>
      <c r="J5" s="42">
        <v>8.9</v>
      </c>
      <c r="K5" s="42">
        <v>14.9</v>
      </c>
    </row>
    <row r="6" spans="1:11">
      <c r="A6">
        <v>6</v>
      </c>
      <c r="B6" s="1" t="str">
        <f>VLOOKUP(A6,kategorie!$A$2:$B$99,2,FALSE())</f>
        <v>PET lahve</v>
      </c>
      <c r="C6" s="42" t="s">
        <v>60</v>
      </c>
      <c r="D6" s="42">
        <v>3.5</v>
      </c>
      <c r="E6" s="42">
        <v>14.8</v>
      </c>
      <c r="F6" s="42">
        <v>8.85</v>
      </c>
      <c r="G6" s="42">
        <v>1.6</v>
      </c>
      <c r="H6" s="42">
        <v>6.8</v>
      </c>
      <c r="I6" s="42">
        <v>13.2</v>
      </c>
      <c r="J6" s="42">
        <v>9.75</v>
      </c>
      <c r="K6" s="42">
        <v>5</v>
      </c>
    </row>
    <row r="7" spans="1:11">
      <c r="A7">
        <v>7</v>
      </c>
      <c r="B7" s="1" t="str">
        <f>VLOOKUP(A7,kategorie!$A$2:$B$99,2,FALSE())</f>
        <v>HDP tvrdé plasty</v>
      </c>
      <c r="C7" s="42" t="s">
        <v>61</v>
      </c>
      <c r="D7" s="42">
        <v>4.8</v>
      </c>
      <c r="E7" s="42">
        <v>11.2</v>
      </c>
      <c r="F7" s="42">
        <v>16.850000000000001</v>
      </c>
      <c r="G7" s="42">
        <v>5.2</v>
      </c>
      <c r="H7" s="42">
        <v>8.35</v>
      </c>
      <c r="I7" s="42">
        <v>7.15</v>
      </c>
      <c r="J7" s="42">
        <v>9.25</v>
      </c>
      <c r="K7" s="42">
        <v>8.9</v>
      </c>
    </row>
    <row r="8" spans="1:11">
      <c r="A8">
        <v>8</v>
      </c>
      <c r="B8" s="1" t="str">
        <f>VLOOKUP(A8,kategorie!$A$2:$B$99,2,FALSE())</f>
        <v>papír, tiskoviny</v>
      </c>
      <c r="C8" s="42" t="s">
        <v>62</v>
      </c>
      <c r="D8" s="43">
        <v>11.6</v>
      </c>
      <c r="E8" s="42">
        <v>9.1</v>
      </c>
      <c r="F8" s="42">
        <v>19.05</v>
      </c>
      <c r="G8" s="42">
        <v>15.55</v>
      </c>
      <c r="H8" s="42">
        <v>7.45</v>
      </c>
      <c r="I8" s="42">
        <v>33.5</v>
      </c>
      <c r="J8" s="42">
        <v>12.15</v>
      </c>
      <c r="K8" s="42">
        <v>9.3000000000000007</v>
      </c>
    </row>
    <row r="9" spans="1:11">
      <c r="A9">
        <v>9</v>
      </c>
      <c r="B9" s="1" t="str">
        <f>VLOOKUP(A9,kategorie!$A$2:$B$99,2,FALSE())</f>
        <v>lepenka, karton</v>
      </c>
      <c r="C9" s="42" t="s">
        <v>172</v>
      </c>
      <c r="D9" s="42">
        <v>4.5999999999999996</v>
      </c>
      <c r="E9" s="42">
        <v>16.850000000000001</v>
      </c>
      <c r="F9" s="42">
        <v>13.85</v>
      </c>
      <c r="G9" s="42">
        <v>3.95</v>
      </c>
      <c r="H9" s="42">
        <v>4.4000000000000004</v>
      </c>
      <c r="I9" s="42">
        <v>9.15</v>
      </c>
      <c r="J9" s="42">
        <v>17.7</v>
      </c>
      <c r="K9" s="42">
        <v>4.3</v>
      </c>
    </row>
    <row r="10" spans="1:11">
      <c r="A10">
        <v>10</v>
      </c>
      <c r="B10" s="1" t="str">
        <f>VLOOKUP(A10,kategorie!$A$2:$B$99,2,FALSE())</f>
        <v>sklo</v>
      </c>
      <c r="C10" s="42" t="s">
        <v>64</v>
      </c>
      <c r="D10" s="42">
        <v>21.2</v>
      </c>
      <c r="E10" s="42">
        <v>7.8</v>
      </c>
      <c r="F10" s="42">
        <v>18.3</v>
      </c>
      <c r="G10" s="42">
        <v>17.899999999999999</v>
      </c>
      <c r="H10" s="42">
        <v>27.95</v>
      </c>
      <c r="I10" s="42">
        <v>20.7</v>
      </c>
      <c r="J10" s="42">
        <v>20.65</v>
      </c>
      <c r="K10" s="42">
        <v>15.1</v>
      </c>
    </row>
    <row r="11" spans="1:11">
      <c r="A11">
        <v>11</v>
      </c>
      <c r="B11" s="1" t="str">
        <f>VLOOKUP(A11,kategorie!$A$2:$B$99,2,FALSE())</f>
        <v>elektroodpad</v>
      </c>
      <c r="C11" s="42" t="s">
        <v>164</v>
      </c>
      <c r="D11" s="42">
        <v>2.5</v>
      </c>
      <c r="E11" s="42">
        <v>2.15</v>
      </c>
      <c r="F11" s="42">
        <v>0.65</v>
      </c>
      <c r="G11" s="42">
        <v>0.5</v>
      </c>
      <c r="H11" s="42">
        <v>20.85</v>
      </c>
      <c r="I11" s="42">
        <v>2.25</v>
      </c>
      <c r="J11" s="42">
        <v>7.05</v>
      </c>
      <c r="K11" s="42">
        <v>13.4</v>
      </c>
    </row>
    <row r="12" spans="1:11">
      <c r="A12">
        <v>13</v>
      </c>
      <c r="B12" s="1" t="str">
        <f>VLOOKUP(A12,kategorie!$A$2:$B$99,2,FALSE())</f>
        <v>textil</v>
      </c>
      <c r="C12" s="42" t="s">
        <v>70</v>
      </c>
      <c r="D12" s="42">
        <v>19.399999999999999</v>
      </c>
      <c r="E12" s="42">
        <v>54.2</v>
      </c>
      <c r="F12" s="42">
        <v>37.299999999999997</v>
      </c>
      <c r="G12" s="42">
        <v>13.3</v>
      </c>
      <c r="H12" s="42">
        <v>22</v>
      </c>
      <c r="I12" s="42">
        <v>17.7</v>
      </c>
      <c r="J12" s="42">
        <v>24.75</v>
      </c>
      <c r="K12" s="42">
        <v>51.4</v>
      </c>
    </row>
    <row r="13" spans="1:11">
      <c r="A13">
        <v>14</v>
      </c>
      <c r="B13" s="1" t="str">
        <f>VLOOKUP(A13,kategorie!$A$2:$B$99,2,FALSE())</f>
        <v>kov</v>
      </c>
      <c r="C13" s="42" t="s">
        <v>71</v>
      </c>
      <c r="D13" s="42">
        <v>6.5</v>
      </c>
      <c r="E13" s="42">
        <v>4.6500000000000004</v>
      </c>
      <c r="F13" s="42">
        <v>8.9499999999999993</v>
      </c>
      <c r="G13" s="42">
        <v>11.1</v>
      </c>
      <c r="H13" s="42">
        <v>20</v>
      </c>
      <c r="I13" s="59">
        <v>12.75</v>
      </c>
      <c r="J13" s="59">
        <v>14.05</v>
      </c>
      <c r="K13" s="59">
        <v>17.100000000000001</v>
      </c>
    </row>
    <row r="14" spans="1:11">
      <c r="A14">
        <v>15</v>
      </c>
      <c r="B14" s="1" t="str">
        <f>VLOOKUP(A14,kategorie!$A$2:$B$99,2,FALSE())</f>
        <v>nápojový karton</v>
      </c>
      <c r="C14" s="42" t="s">
        <v>165</v>
      </c>
      <c r="D14" s="42">
        <v>3.9</v>
      </c>
      <c r="E14" s="42">
        <v>8.35</v>
      </c>
      <c r="F14" s="42">
        <v>2.75</v>
      </c>
      <c r="G14" s="42">
        <v>3</v>
      </c>
      <c r="H14" s="59">
        <v>5.7</v>
      </c>
      <c r="I14" s="59">
        <v>5.95</v>
      </c>
      <c r="J14" s="59">
        <v>3.55</v>
      </c>
      <c r="K14" s="59">
        <v>3.9</v>
      </c>
    </row>
    <row r="15" spans="1:11">
      <c r="A15">
        <v>12</v>
      </c>
      <c r="B15" s="1" t="str">
        <f>VLOOKUP(A15,kategorie!$A$2:$B$99,2,FALSE())</f>
        <v>procesované dřevo</v>
      </c>
      <c r="C15" s="42" t="s">
        <v>166</v>
      </c>
      <c r="D15" s="42">
        <v>0</v>
      </c>
      <c r="E15" s="42">
        <v>1.45</v>
      </c>
      <c r="F15" s="42">
        <v>11.45</v>
      </c>
      <c r="G15" s="42">
        <v>0.95</v>
      </c>
      <c r="H15" s="42">
        <v>0</v>
      </c>
      <c r="I15" s="42">
        <v>0</v>
      </c>
      <c r="J15" s="42">
        <v>19.149999999999999</v>
      </c>
      <c r="K15" s="42">
        <v>0</v>
      </c>
    </row>
    <row r="16" spans="1:11">
      <c r="A16">
        <v>16</v>
      </c>
      <c r="B16" s="1" t="str">
        <f>VLOOKUP(A16,kategorie!$A$2:$B$99,2,FALSE())</f>
        <v>stavební odpad</v>
      </c>
      <c r="C16" s="42" t="s">
        <v>74</v>
      </c>
      <c r="D16" s="42">
        <v>15.8</v>
      </c>
      <c r="E16" s="42">
        <v>1.9</v>
      </c>
      <c r="F16" s="42">
        <v>2</v>
      </c>
      <c r="G16" s="42">
        <v>10.5</v>
      </c>
      <c r="H16" s="42">
        <v>0</v>
      </c>
      <c r="I16" s="42">
        <v>0</v>
      </c>
      <c r="J16" s="42">
        <v>0</v>
      </c>
      <c r="K16" s="42">
        <v>0</v>
      </c>
    </row>
    <row r="17" spans="1:11">
      <c r="A17">
        <v>18</v>
      </c>
      <c r="B17" s="1" t="str">
        <f>VLOOKUP(A17,kategorie!$A$2:$B$99,2,FALSE())</f>
        <v>infekční/neinfekční odpad</v>
      </c>
      <c r="C17" s="42" t="s">
        <v>75</v>
      </c>
      <c r="D17" s="42">
        <v>41.3</v>
      </c>
      <c r="E17" s="42">
        <v>38.9</v>
      </c>
      <c r="F17" s="42">
        <v>54.15</v>
      </c>
      <c r="G17" s="42">
        <v>70.45</v>
      </c>
      <c r="H17" s="42">
        <v>39.049999999999997</v>
      </c>
      <c r="I17" s="42">
        <v>47.05</v>
      </c>
      <c r="J17" s="42">
        <v>100.3</v>
      </c>
      <c r="K17" s="42">
        <v>45.6</v>
      </c>
    </row>
    <row r="18" spans="1:11">
      <c r="A18">
        <v>49</v>
      </c>
      <c r="B18" s="1" t="str">
        <f>VLOOKUP(A18,kategorie!$A$2:$B$99,2,FALSE())</f>
        <v>popel/nebezpečný odpad</v>
      </c>
      <c r="C18" s="42" t="s">
        <v>170</v>
      </c>
      <c r="D18" s="42">
        <v>2.65</v>
      </c>
      <c r="E18" s="42">
        <v>0</v>
      </c>
      <c r="F18" s="42">
        <v>10.15</v>
      </c>
      <c r="G18" s="42">
        <v>0.45</v>
      </c>
      <c r="H18" s="42">
        <v>11.7</v>
      </c>
      <c r="I18" s="42">
        <v>0</v>
      </c>
      <c r="J18" s="42">
        <v>0</v>
      </c>
      <c r="K18" s="42">
        <v>1</v>
      </c>
    </row>
    <row r="19" spans="1:11">
      <c r="A19">
        <v>20</v>
      </c>
      <c r="B19" s="1" t="str">
        <f>VLOOKUP(A19,kategorie!$A$2:$B$99,2,FALSE())</f>
        <v>směsný komunální odpad</v>
      </c>
      <c r="C19" s="42" t="s">
        <v>77</v>
      </c>
      <c r="D19" s="42">
        <v>96.4</v>
      </c>
      <c r="E19" s="42">
        <v>165.55</v>
      </c>
      <c r="F19" s="42">
        <v>56.6</v>
      </c>
      <c r="G19" s="42">
        <v>115.9</v>
      </c>
      <c r="H19" s="42">
        <v>97.3</v>
      </c>
      <c r="I19" s="42">
        <v>63.9</v>
      </c>
      <c r="J19" s="42">
        <v>86.1</v>
      </c>
      <c r="K19" s="60">
        <v>160.4</v>
      </c>
    </row>
    <row r="20" spans="1:11">
      <c r="A20">
        <v>50</v>
      </c>
      <c r="B20" s="1" t="str">
        <f>VLOOKUP(A20,kategorie!$A$2:$B$99,2,FALSE())</f>
        <v xml:space="preserve">směsný komunální odpad pod sítem </v>
      </c>
      <c r="C20" s="42" t="s">
        <v>171</v>
      </c>
      <c r="D20" s="42">
        <v>125.2</v>
      </c>
      <c r="E20" s="42">
        <v>0</v>
      </c>
      <c r="F20" s="42">
        <v>0</v>
      </c>
      <c r="G20" s="42">
        <v>0</v>
      </c>
      <c r="H20" s="42">
        <v>147.5</v>
      </c>
      <c r="I20" s="42">
        <v>0</v>
      </c>
      <c r="J20" s="42">
        <v>0</v>
      </c>
      <c r="K20" s="42">
        <v>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5"/>
  <sheetViews>
    <sheetView zoomScaleNormal="100" workbookViewId="0">
      <selection activeCell="C16" sqref="C16"/>
    </sheetView>
  </sheetViews>
  <sheetFormatPr defaultColWidth="8.6640625" defaultRowHeight="14.4"/>
  <cols>
    <col min="1" max="1" width="9.6640625" customWidth="1"/>
    <col min="2" max="2" width="33.6640625" customWidth="1"/>
    <col min="3" max="3" width="19.6640625" customWidth="1"/>
    <col min="4" max="4" width="5.77734375" customWidth="1"/>
    <col min="5" max="5" width="6.5546875" customWidth="1"/>
    <col min="6" max="6" width="7.6640625" customWidth="1"/>
    <col min="7" max="12" width="6.5546875" customWidth="1"/>
    <col min="13" max="27" width="6.109375" style="67" bestFit="1" customWidth="1"/>
  </cols>
  <sheetData>
    <row r="1" spans="1:27">
      <c r="A1" s="9" t="s">
        <v>29</v>
      </c>
      <c r="B1" s="9" t="s">
        <v>30</v>
      </c>
      <c r="C1" s="9" t="s">
        <v>31</v>
      </c>
      <c r="D1" s="9" t="s">
        <v>245</v>
      </c>
      <c r="E1" s="10" t="s">
        <v>246</v>
      </c>
      <c r="F1" s="10" t="s">
        <v>247</v>
      </c>
      <c r="G1" s="10" t="s">
        <v>248</v>
      </c>
      <c r="H1" s="10" t="s">
        <v>249</v>
      </c>
      <c r="I1" s="10" t="s">
        <v>250</v>
      </c>
      <c r="J1" s="10" t="s">
        <v>251</v>
      </c>
      <c r="K1" s="10" t="s">
        <v>252</v>
      </c>
      <c r="L1" s="10" t="s">
        <v>253</v>
      </c>
      <c r="M1" s="10" t="s">
        <v>254</v>
      </c>
      <c r="N1" s="10" t="s">
        <v>255</v>
      </c>
      <c r="O1" s="10" t="s">
        <v>256</v>
      </c>
      <c r="P1" s="10" t="s">
        <v>257</v>
      </c>
      <c r="Q1" s="10" t="s">
        <v>258</v>
      </c>
      <c r="R1" s="10" t="s">
        <v>259</v>
      </c>
      <c r="S1" s="10" t="s">
        <v>260</v>
      </c>
      <c r="T1" s="10" t="s">
        <v>261</v>
      </c>
      <c r="U1" s="10" t="s">
        <v>262</v>
      </c>
      <c r="V1" s="10" t="s">
        <v>263</v>
      </c>
      <c r="W1" s="10" t="s">
        <v>264</v>
      </c>
      <c r="X1" s="10" t="s">
        <v>265</v>
      </c>
      <c r="Y1" s="10" t="s">
        <v>266</v>
      </c>
      <c r="Z1" s="10" t="s">
        <v>267</v>
      </c>
      <c r="AA1" s="10" t="s">
        <v>268</v>
      </c>
    </row>
    <row r="2" spans="1:27">
      <c r="A2" s="11">
        <v>1</v>
      </c>
      <c r="B2" s="1" t="str">
        <f>VLOOKUP(A2,kategorie!$A$2:$B$99,2,FALSE())</f>
        <v>zahradní zeleň</v>
      </c>
      <c r="C2" s="1" t="str">
        <f>VLOOKUP(B2,kategorie!$B$2:$C$99,2,FALSE())</f>
        <v>BIO</v>
      </c>
      <c r="D2" s="12">
        <v>0</v>
      </c>
      <c r="E2" s="12">
        <v>69.900000000000006</v>
      </c>
      <c r="F2" s="13">
        <v>102.85</v>
      </c>
      <c r="G2" s="13">
        <v>26.25</v>
      </c>
      <c r="H2" s="14">
        <v>158</v>
      </c>
      <c r="I2" s="13">
        <v>26.15</v>
      </c>
      <c r="J2" s="13">
        <v>7.65</v>
      </c>
      <c r="K2" s="13">
        <v>55.7</v>
      </c>
      <c r="L2" s="13">
        <v>14.3</v>
      </c>
      <c r="M2" s="61">
        <v>0</v>
      </c>
      <c r="N2" s="61">
        <v>9.9</v>
      </c>
      <c r="O2" s="61">
        <v>19</v>
      </c>
      <c r="P2" s="61">
        <v>60.11</v>
      </c>
      <c r="Q2" s="62">
        <v>14.65</v>
      </c>
      <c r="R2" s="63">
        <v>2.76</v>
      </c>
      <c r="S2" s="63">
        <v>0.1</v>
      </c>
      <c r="T2" s="63">
        <v>58.8</v>
      </c>
      <c r="U2" s="63">
        <v>59.36</v>
      </c>
      <c r="V2" s="63">
        <v>1.02</v>
      </c>
      <c r="W2" s="63">
        <v>47.94</v>
      </c>
      <c r="X2" s="68">
        <v>22.9</v>
      </c>
      <c r="Y2" s="63">
        <v>2.2999999999999998</v>
      </c>
      <c r="Z2" s="63">
        <v>1</v>
      </c>
      <c r="AA2" s="63">
        <v>0</v>
      </c>
    </row>
    <row r="3" spans="1:27">
      <c r="A3" s="11">
        <v>2</v>
      </c>
      <c r="B3" s="1" t="str">
        <f>VLOOKUP(A3,kategorie!$A$2:$B$99,2,FALSE())</f>
        <v>kuchyňský odpad kompostovatelný</v>
      </c>
      <c r="C3" s="1" t="str">
        <f>VLOOKUP(B3,kategorie!$B$2:$C$99,2,FALSE())</f>
        <v>BIO</v>
      </c>
      <c r="D3" s="12">
        <v>58.7</v>
      </c>
      <c r="E3" s="12">
        <v>0</v>
      </c>
      <c r="F3" s="13">
        <v>0</v>
      </c>
      <c r="G3" s="13">
        <v>106.2</v>
      </c>
      <c r="H3" s="14">
        <v>15.3</v>
      </c>
      <c r="I3" s="13">
        <v>27.3</v>
      </c>
      <c r="J3" s="13">
        <v>16.8</v>
      </c>
      <c r="K3" s="13">
        <v>65.099999999999994</v>
      </c>
      <c r="L3" s="13">
        <v>101.7</v>
      </c>
      <c r="M3" s="61">
        <v>58.7</v>
      </c>
      <c r="N3" s="61">
        <v>51.8</v>
      </c>
      <c r="O3" s="61">
        <v>38.26</v>
      </c>
      <c r="P3" s="61">
        <v>2.65</v>
      </c>
      <c r="Q3" s="62">
        <v>35.200000000000003</v>
      </c>
      <c r="R3" s="63">
        <v>32.1</v>
      </c>
      <c r="S3" s="63">
        <v>4.4000000000000004</v>
      </c>
      <c r="T3" s="63">
        <v>26.3</v>
      </c>
      <c r="U3" s="63">
        <v>52.4</v>
      </c>
      <c r="V3" s="63">
        <v>57.02</v>
      </c>
      <c r="W3" s="63">
        <v>55.74</v>
      </c>
      <c r="X3" s="68">
        <v>36.56</v>
      </c>
      <c r="Y3" s="63">
        <v>67.06</v>
      </c>
      <c r="Z3" s="63">
        <v>18.96</v>
      </c>
      <c r="AA3" s="63">
        <v>13.6</v>
      </c>
    </row>
    <row r="4" spans="1:27">
      <c r="A4" s="11">
        <v>3</v>
      </c>
      <c r="B4" s="1" t="str">
        <f>VLOOKUP(A4,kategorie!$A$2:$B$99,2,FALSE())</f>
        <v>kuchyňský odpad nekompostovatelný</v>
      </c>
      <c r="C4" s="1" t="str">
        <f>VLOOKUP(B4,kategorie!$B$2:$C$99,2,FALSE())</f>
        <v>BIO</v>
      </c>
      <c r="D4" s="12">
        <v>36.799999999999997</v>
      </c>
      <c r="E4" s="12">
        <v>46.6</v>
      </c>
      <c r="F4" s="13">
        <v>15.8</v>
      </c>
      <c r="G4" s="13">
        <v>45.35</v>
      </c>
      <c r="H4" s="14">
        <v>21.95</v>
      </c>
      <c r="I4" s="13">
        <v>14.65</v>
      </c>
      <c r="J4" s="13">
        <v>18.600000000000001</v>
      </c>
      <c r="K4" s="13">
        <v>47.4</v>
      </c>
      <c r="L4" s="13">
        <v>60.3</v>
      </c>
      <c r="M4" s="61">
        <v>36.799999999999997</v>
      </c>
      <c r="N4" s="61">
        <v>55.2</v>
      </c>
      <c r="O4" s="61">
        <v>46.72</v>
      </c>
      <c r="P4" s="61">
        <v>28.6</v>
      </c>
      <c r="Q4" s="62">
        <v>40.799999999999997</v>
      </c>
      <c r="R4" s="63">
        <v>26.1</v>
      </c>
      <c r="S4" s="63">
        <v>1.1000000000000001</v>
      </c>
      <c r="T4" s="63">
        <v>32.700000000000003</v>
      </c>
      <c r="U4" s="63">
        <v>59.38</v>
      </c>
      <c r="V4" s="63">
        <v>63.03</v>
      </c>
      <c r="W4" s="63">
        <v>67.38</v>
      </c>
      <c r="X4" s="68">
        <v>29.49</v>
      </c>
      <c r="Y4" s="63">
        <v>47.86</v>
      </c>
      <c r="Z4" s="63">
        <v>27.2</v>
      </c>
      <c r="AA4" s="63">
        <v>18</v>
      </c>
    </row>
    <row r="5" spans="1:27">
      <c r="A5" s="11">
        <v>4</v>
      </c>
      <c r="B5" s="1" t="str">
        <f>VLOOKUP(A5,kategorie!$A$2:$B$99,2,FALSE())</f>
        <v>plast měkký</v>
      </c>
      <c r="C5" s="1" t="str">
        <f>VLOOKUP(B5,kategorie!$B$2:$C$99,2,FALSE())</f>
        <v>PLAST</v>
      </c>
      <c r="D5" s="12">
        <v>9.6999999999999993</v>
      </c>
      <c r="E5" s="12">
        <v>8.9499999999999993</v>
      </c>
      <c r="F5" s="13">
        <v>3.5</v>
      </c>
      <c r="G5" s="13">
        <v>10.15</v>
      </c>
      <c r="H5" s="14">
        <v>6.4</v>
      </c>
      <c r="I5" s="13">
        <v>3.95</v>
      </c>
      <c r="J5" s="13">
        <v>12.4</v>
      </c>
      <c r="K5" s="13">
        <v>16.55</v>
      </c>
      <c r="L5" s="13">
        <v>10.199999999999999</v>
      </c>
      <c r="M5" s="61">
        <v>9.6999999999999993</v>
      </c>
      <c r="N5" s="69">
        <v>24.2</v>
      </c>
      <c r="O5" s="61">
        <v>11.18</v>
      </c>
      <c r="P5" s="61">
        <v>6.06</v>
      </c>
      <c r="Q5" s="62">
        <v>16.649999999999999</v>
      </c>
      <c r="R5" s="63">
        <v>12.6</v>
      </c>
      <c r="S5" s="63">
        <v>12.62</v>
      </c>
      <c r="T5" s="63">
        <v>7</v>
      </c>
      <c r="U5" s="63">
        <v>10.98</v>
      </c>
      <c r="V5" s="63">
        <v>17.36</v>
      </c>
      <c r="W5" s="63">
        <v>13.48</v>
      </c>
      <c r="X5" s="68">
        <v>2.94</v>
      </c>
      <c r="Y5" s="63">
        <v>10.54</v>
      </c>
      <c r="Z5" s="63">
        <v>4.9400000000000004</v>
      </c>
      <c r="AA5" s="63">
        <v>3.14</v>
      </c>
    </row>
    <row r="6" spans="1:27">
      <c r="A6" s="11">
        <v>5</v>
      </c>
      <c r="B6" s="1" t="str">
        <f>VLOOKUP(A6,kategorie!$A$2:$B$99,2,FALSE())</f>
        <v>plastové folie</v>
      </c>
      <c r="C6" s="1" t="str">
        <f>VLOOKUP(B6,kategorie!$B$2:$C$99,2,FALSE())</f>
        <v>PLAST</v>
      </c>
      <c r="D6" s="12">
        <v>14.3</v>
      </c>
      <c r="E6" s="12">
        <v>10.55</v>
      </c>
      <c r="F6" s="13">
        <v>7.25</v>
      </c>
      <c r="G6" s="13">
        <v>9.75</v>
      </c>
      <c r="H6" s="14">
        <v>9.15</v>
      </c>
      <c r="I6" s="15">
        <v>2</v>
      </c>
      <c r="J6" s="13">
        <v>1.6</v>
      </c>
      <c r="K6" s="13">
        <v>4.8</v>
      </c>
      <c r="L6" s="13">
        <v>1.3</v>
      </c>
      <c r="M6" s="61">
        <v>14.3</v>
      </c>
      <c r="N6" s="69">
        <v>5</v>
      </c>
      <c r="O6" s="61">
        <v>6.78</v>
      </c>
      <c r="P6" s="61">
        <v>6.32</v>
      </c>
      <c r="Q6" s="62">
        <v>3</v>
      </c>
      <c r="R6" s="70">
        <v>7.14</v>
      </c>
      <c r="S6" s="70">
        <v>6</v>
      </c>
      <c r="T6" s="63">
        <v>2.7</v>
      </c>
      <c r="U6" s="63">
        <v>13.52</v>
      </c>
      <c r="V6" s="63">
        <v>10.039999999999999</v>
      </c>
      <c r="W6" s="63">
        <v>6.38</v>
      </c>
      <c r="X6" s="68">
        <v>4.0999999999999996</v>
      </c>
      <c r="Y6" s="63">
        <v>7.3</v>
      </c>
      <c r="Z6" s="63">
        <v>2.42</v>
      </c>
      <c r="AA6" s="63">
        <v>1.9</v>
      </c>
    </row>
    <row r="7" spans="1:27">
      <c r="A7" s="11">
        <v>6</v>
      </c>
      <c r="B7" s="1" t="str">
        <f>VLOOKUP(A7,kategorie!$A$2:$B$99,2,FALSE())</f>
        <v>PET lahve</v>
      </c>
      <c r="C7" s="1" t="str">
        <f>VLOOKUP(B7,kategorie!$B$2:$C$99,2,FALSE())</f>
        <v>PLAST</v>
      </c>
      <c r="D7" s="12">
        <v>6.9</v>
      </c>
      <c r="E7" s="12">
        <v>8.3000000000000007</v>
      </c>
      <c r="F7" s="13">
        <v>1.1499999999999999</v>
      </c>
      <c r="G7" s="13">
        <v>1.95</v>
      </c>
      <c r="H7" s="14">
        <v>4.2</v>
      </c>
      <c r="I7" s="13">
        <v>2.15</v>
      </c>
      <c r="J7" s="13">
        <v>4.05</v>
      </c>
      <c r="K7" s="13">
        <v>10.5</v>
      </c>
      <c r="L7" s="13">
        <v>5.2</v>
      </c>
      <c r="M7" s="61">
        <v>6.9</v>
      </c>
      <c r="N7" s="69">
        <v>3</v>
      </c>
      <c r="O7" s="61">
        <v>3.66</v>
      </c>
      <c r="P7" s="61">
        <v>3.25</v>
      </c>
      <c r="Q7" s="62">
        <v>3.05</v>
      </c>
      <c r="R7" s="63">
        <v>2.9</v>
      </c>
      <c r="S7" s="63">
        <v>1.8</v>
      </c>
      <c r="T7" s="63">
        <v>1</v>
      </c>
      <c r="U7" s="63">
        <v>2.5</v>
      </c>
      <c r="V7" s="63">
        <v>6.18</v>
      </c>
      <c r="W7" s="63">
        <v>2.2200000000000002</v>
      </c>
      <c r="X7" s="68">
        <v>0.86</v>
      </c>
      <c r="Y7" s="63">
        <v>2.2999999999999998</v>
      </c>
      <c r="Z7" s="63">
        <v>1.08</v>
      </c>
      <c r="AA7" s="63">
        <v>0.5</v>
      </c>
    </row>
    <row r="8" spans="1:27">
      <c r="A8" s="11">
        <v>7</v>
      </c>
      <c r="B8" s="1" t="str">
        <f>VLOOKUP(A8,kategorie!$A$2:$B$99,2,FALSE())</f>
        <v>HDP tvrdé plasty</v>
      </c>
      <c r="C8" s="1" t="str">
        <f>VLOOKUP(B8,kategorie!$B$2:$C$99,2,FALSE())</f>
        <v>PLAST</v>
      </c>
      <c r="D8" s="12">
        <v>8.8000000000000007</v>
      </c>
      <c r="E8" s="12">
        <v>7.15</v>
      </c>
      <c r="F8" s="13">
        <v>3.55</v>
      </c>
      <c r="G8" s="13">
        <v>3.15</v>
      </c>
      <c r="H8" s="14">
        <v>5.55</v>
      </c>
      <c r="I8" s="13">
        <v>6.25</v>
      </c>
      <c r="J8" s="13">
        <v>5.4</v>
      </c>
      <c r="K8" s="13">
        <v>3.2</v>
      </c>
      <c r="L8" s="13">
        <v>2.5</v>
      </c>
      <c r="M8" s="61">
        <v>8.8000000000000007</v>
      </c>
      <c r="N8" s="69">
        <v>4.5999999999999996</v>
      </c>
      <c r="O8" s="61">
        <v>2.74</v>
      </c>
      <c r="P8" s="61">
        <v>1.26</v>
      </c>
      <c r="Q8" s="62">
        <v>2.7</v>
      </c>
      <c r="R8" s="63">
        <v>2.4</v>
      </c>
      <c r="S8" s="63">
        <v>1.7</v>
      </c>
      <c r="T8" s="63">
        <v>1.3</v>
      </c>
      <c r="U8" s="63">
        <v>4.3</v>
      </c>
      <c r="V8" s="63">
        <v>7.7</v>
      </c>
      <c r="W8" s="63">
        <v>3.24</v>
      </c>
      <c r="X8" s="68">
        <v>0.92</v>
      </c>
      <c r="Y8" s="63">
        <v>4.8</v>
      </c>
      <c r="Z8" s="63">
        <v>1.1200000000000001</v>
      </c>
      <c r="AA8" s="63">
        <v>2.02</v>
      </c>
    </row>
    <row r="9" spans="1:27">
      <c r="A9" s="11">
        <v>8</v>
      </c>
      <c r="B9" s="1" t="str">
        <f>VLOOKUP(A9,kategorie!$A$2:$B$99,2,FALSE())</f>
        <v>papír, tiskoviny</v>
      </c>
      <c r="C9" s="1" t="str">
        <f>VLOOKUP(B9,kategorie!$B$2:$C$99,2,FALSE())</f>
        <v>PAPIR</v>
      </c>
      <c r="D9" s="12">
        <v>22.2</v>
      </c>
      <c r="E9" s="12">
        <v>31.2</v>
      </c>
      <c r="F9" s="13">
        <v>47.55</v>
      </c>
      <c r="G9" s="13">
        <v>21.55</v>
      </c>
      <c r="H9" s="14">
        <v>7.9</v>
      </c>
      <c r="I9" s="13">
        <v>9.4</v>
      </c>
      <c r="J9" s="13">
        <v>24.1</v>
      </c>
      <c r="K9" s="13">
        <v>31.85</v>
      </c>
      <c r="L9" s="13">
        <v>9.9</v>
      </c>
      <c r="M9" s="61">
        <v>22.2</v>
      </c>
      <c r="N9" s="69">
        <v>22.1</v>
      </c>
      <c r="O9" s="61">
        <v>5.34</v>
      </c>
      <c r="P9" s="61">
        <v>10.3</v>
      </c>
      <c r="Q9" s="62">
        <v>5.05</v>
      </c>
      <c r="R9" s="63">
        <v>6.4</v>
      </c>
      <c r="S9" s="63">
        <v>2.2000000000000002</v>
      </c>
      <c r="T9" s="63">
        <v>5.4</v>
      </c>
      <c r="U9" s="63">
        <v>7.4</v>
      </c>
      <c r="V9" s="63">
        <v>7.76</v>
      </c>
      <c r="W9" s="63">
        <v>2.58</v>
      </c>
      <c r="X9" s="68">
        <v>1.52</v>
      </c>
      <c r="Y9" s="63">
        <v>5.4</v>
      </c>
      <c r="Z9" s="63">
        <v>1.28</v>
      </c>
      <c r="AA9" s="63">
        <v>1.1599999999999999</v>
      </c>
    </row>
    <row r="10" spans="1:27">
      <c r="A10" s="11">
        <v>9</v>
      </c>
      <c r="B10" s="1" t="str">
        <f>VLOOKUP(A10,kategorie!$A$2:$B$99,2,FALSE())</f>
        <v>lepenka, karton</v>
      </c>
      <c r="C10" s="1" t="str">
        <f>VLOOKUP(B10,kategorie!$B$2:$C$99,2,FALSE())</f>
        <v>PAPIR</v>
      </c>
      <c r="D10" s="16">
        <v>4</v>
      </c>
      <c r="E10" s="12">
        <v>5.55</v>
      </c>
      <c r="F10" s="13">
        <v>36.049999999999997</v>
      </c>
      <c r="G10" s="13">
        <v>0</v>
      </c>
      <c r="H10" s="14">
        <v>3.65</v>
      </c>
      <c r="I10" s="13">
        <v>4.4000000000000004</v>
      </c>
      <c r="J10" s="13">
        <v>19.3</v>
      </c>
      <c r="K10" s="13">
        <v>0</v>
      </c>
      <c r="L10" s="13">
        <v>1.5</v>
      </c>
      <c r="M10" s="61">
        <v>4</v>
      </c>
      <c r="N10" s="69">
        <v>3.6</v>
      </c>
      <c r="O10" s="61">
        <v>3.7</v>
      </c>
      <c r="P10" s="61">
        <v>2.2599999999999998</v>
      </c>
      <c r="Q10" s="62">
        <v>3.5</v>
      </c>
      <c r="R10" s="63">
        <v>5.0999999999999996</v>
      </c>
      <c r="S10" s="63">
        <v>3.7</v>
      </c>
      <c r="T10" s="63">
        <v>3.8</v>
      </c>
      <c r="U10" s="63">
        <v>8.64</v>
      </c>
      <c r="V10" s="63">
        <v>11.26</v>
      </c>
      <c r="W10" s="63">
        <v>10.76</v>
      </c>
      <c r="X10" s="68">
        <v>1.58</v>
      </c>
      <c r="Y10" s="63">
        <v>9.4600000000000009</v>
      </c>
      <c r="Z10" s="63">
        <v>3.64</v>
      </c>
      <c r="AA10" s="63">
        <v>1.86</v>
      </c>
    </row>
    <row r="11" spans="1:27">
      <c r="A11" s="11">
        <v>10</v>
      </c>
      <c r="B11" s="1" t="str">
        <f>VLOOKUP(A11,kategorie!$A$2:$B$99,2,FALSE())</f>
        <v>sklo</v>
      </c>
      <c r="C11" s="1" t="str">
        <f>VLOOKUP(B11,kategorie!$B$2:$C$99,2,FALSE())</f>
        <v>SKLO</v>
      </c>
      <c r="D11" s="12">
        <v>26.6</v>
      </c>
      <c r="E11" s="12">
        <v>47.6</v>
      </c>
      <c r="F11" s="13">
        <v>8.3000000000000007</v>
      </c>
      <c r="G11" s="13">
        <v>27.95</v>
      </c>
      <c r="H11" s="14">
        <v>9.85</v>
      </c>
      <c r="I11" s="13">
        <v>16.899999999999999</v>
      </c>
      <c r="J11" s="13">
        <v>19.55</v>
      </c>
      <c r="K11" s="13">
        <v>23.85</v>
      </c>
      <c r="L11" s="13">
        <v>4.0999999999999996</v>
      </c>
      <c r="M11" s="61">
        <v>26.6</v>
      </c>
      <c r="N11" s="61">
        <v>9.3000000000000007</v>
      </c>
      <c r="O11" s="61">
        <v>14.64</v>
      </c>
      <c r="P11" s="61">
        <v>24.3</v>
      </c>
      <c r="Q11" s="62">
        <v>23.3</v>
      </c>
      <c r="R11" s="63">
        <v>7.9</v>
      </c>
      <c r="S11" s="63">
        <v>1.7</v>
      </c>
      <c r="T11" s="63">
        <v>5.9</v>
      </c>
      <c r="U11" s="63">
        <v>9.24</v>
      </c>
      <c r="V11" s="63">
        <v>17.86</v>
      </c>
      <c r="W11" s="63">
        <v>13.1</v>
      </c>
      <c r="X11" s="68">
        <v>1.6</v>
      </c>
      <c r="Y11" s="63">
        <v>12</v>
      </c>
      <c r="Z11" s="63">
        <v>5.66</v>
      </c>
      <c r="AA11" s="63">
        <v>6</v>
      </c>
    </row>
    <row r="12" spans="1:27">
      <c r="A12" s="11">
        <v>11</v>
      </c>
      <c r="B12" s="1" t="str">
        <f>VLOOKUP(A12,kategorie!$A$2:$B$99,2,FALSE())</f>
        <v>elektroodpad</v>
      </c>
      <c r="C12" s="1" t="str">
        <f>VLOOKUP(B12,kategorie!$B$2:$C$99,2,FALSE())</f>
        <v>ELEKTROZAŘÍZENÍ</v>
      </c>
      <c r="D12" s="12">
        <v>1.6</v>
      </c>
      <c r="E12" s="12">
        <v>1.6</v>
      </c>
      <c r="F12" s="13">
        <v>2.15</v>
      </c>
      <c r="G12" s="13">
        <v>1.5</v>
      </c>
      <c r="H12" s="14">
        <v>1.4</v>
      </c>
      <c r="I12" s="13">
        <v>0.8</v>
      </c>
      <c r="J12" s="13">
        <v>0.4</v>
      </c>
      <c r="K12" s="13">
        <v>1.3</v>
      </c>
      <c r="L12" s="13">
        <v>1.6</v>
      </c>
      <c r="M12" s="61">
        <v>1.6</v>
      </c>
      <c r="N12" s="61">
        <v>14.7</v>
      </c>
      <c r="O12" s="61">
        <v>0.82</v>
      </c>
      <c r="P12" s="61">
        <v>1.08</v>
      </c>
      <c r="Q12" s="62">
        <v>0</v>
      </c>
      <c r="R12" s="63">
        <v>0.5</v>
      </c>
      <c r="S12" s="63">
        <v>0.1</v>
      </c>
      <c r="T12" s="63">
        <v>1.1000000000000001</v>
      </c>
      <c r="U12" s="63">
        <v>0.3</v>
      </c>
      <c r="V12" s="63">
        <v>5.6</v>
      </c>
      <c r="W12" s="63">
        <v>11.25</v>
      </c>
      <c r="X12" s="68">
        <v>0.1</v>
      </c>
      <c r="Y12" s="63">
        <v>1</v>
      </c>
      <c r="Z12" s="63">
        <v>0.38</v>
      </c>
      <c r="AA12" s="63">
        <v>0.18</v>
      </c>
    </row>
    <row r="13" spans="1:27">
      <c r="A13" s="11">
        <v>12</v>
      </c>
      <c r="B13" s="1" t="str">
        <f>VLOOKUP(A13,kategorie!$A$2:$B$99,2,FALSE())</f>
        <v>procesované dřevo</v>
      </c>
      <c r="C13" s="1" t="str">
        <f>VLOOKUP(B13,kategorie!$B$2:$C$99,2,FALSE())</f>
        <v>DŘEVO - upravené</v>
      </c>
      <c r="D13" s="12">
        <v>20.5</v>
      </c>
      <c r="E13" s="12">
        <v>4.5</v>
      </c>
      <c r="F13" s="13">
        <v>0</v>
      </c>
      <c r="G13" s="13">
        <v>1.25</v>
      </c>
      <c r="H13" s="14">
        <v>0.9</v>
      </c>
      <c r="I13" s="13">
        <v>17.7</v>
      </c>
      <c r="J13" s="13">
        <v>8.8000000000000007</v>
      </c>
      <c r="K13" s="13">
        <v>0</v>
      </c>
      <c r="L13" s="13">
        <v>7.1</v>
      </c>
      <c r="M13" s="61">
        <v>20.5</v>
      </c>
      <c r="N13" s="61">
        <v>1.5</v>
      </c>
      <c r="O13" s="61">
        <v>0.04</v>
      </c>
      <c r="P13" s="61">
        <v>3.7</v>
      </c>
      <c r="Q13" s="62">
        <v>0.7</v>
      </c>
      <c r="R13" s="63">
        <v>0.3</v>
      </c>
      <c r="S13" s="63">
        <v>6.4</v>
      </c>
      <c r="T13" s="63">
        <v>0</v>
      </c>
      <c r="U13" s="63">
        <v>2</v>
      </c>
      <c r="V13" s="63">
        <v>0</v>
      </c>
      <c r="W13" s="63">
        <v>3.28</v>
      </c>
      <c r="X13" s="68">
        <v>0</v>
      </c>
      <c r="Y13" s="63">
        <v>0.68</v>
      </c>
      <c r="Z13" s="63">
        <v>0.1</v>
      </c>
      <c r="AA13" s="63">
        <v>0.44</v>
      </c>
    </row>
    <row r="14" spans="1:27">
      <c r="A14" s="11">
        <v>13</v>
      </c>
      <c r="B14" s="1" t="str">
        <f>VLOOKUP(A14,kategorie!$A$2:$B$99,2,FALSE())</f>
        <v>textil</v>
      </c>
      <c r="C14" s="1" t="str">
        <f>VLOOKUP(B14,kategorie!$B$2:$C$99,2,FALSE())</f>
        <v>TEXTIL</v>
      </c>
      <c r="D14" s="12">
        <v>13.6</v>
      </c>
      <c r="E14" s="12">
        <v>18.649999999999999</v>
      </c>
      <c r="F14" s="13">
        <v>19.2</v>
      </c>
      <c r="G14" s="13">
        <v>32.049999999999997</v>
      </c>
      <c r="H14" s="14">
        <v>18</v>
      </c>
      <c r="I14" s="13">
        <v>15.95</v>
      </c>
      <c r="J14" s="13">
        <v>39.5</v>
      </c>
      <c r="K14" s="13">
        <v>45.35</v>
      </c>
      <c r="L14" s="13">
        <v>5.5</v>
      </c>
      <c r="M14" s="61">
        <v>13.6</v>
      </c>
      <c r="N14" s="61">
        <v>26</v>
      </c>
      <c r="O14" s="61">
        <v>15.2</v>
      </c>
      <c r="P14" s="61">
        <v>4</v>
      </c>
      <c r="Q14" s="62">
        <v>10.6</v>
      </c>
      <c r="R14" s="63">
        <v>14.8</v>
      </c>
      <c r="S14" s="63">
        <v>0.1</v>
      </c>
      <c r="T14" s="63">
        <v>11.2</v>
      </c>
      <c r="U14" s="63">
        <v>7.26</v>
      </c>
      <c r="V14" s="63">
        <v>26.22</v>
      </c>
      <c r="W14" s="63">
        <v>20.399999999999999</v>
      </c>
      <c r="X14" s="68">
        <v>4.5</v>
      </c>
      <c r="Y14" s="63">
        <v>15.86</v>
      </c>
      <c r="Z14" s="63">
        <v>9.34</v>
      </c>
      <c r="AA14" s="63">
        <v>2.5</v>
      </c>
    </row>
    <row r="15" spans="1:27">
      <c r="A15" s="11">
        <v>14</v>
      </c>
      <c r="B15" s="1" t="str">
        <f>VLOOKUP(A15,kategorie!$A$2:$B$99,2,FALSE())</f>
        <v>kov</v>
      </c>
      <c r="C15" s="1" t="str">
        <f>VLOOKUP(B15,kategorie!$B$2:$C$99,2,FALSE())</f>
        <v>KOV</v>
      </c>
      <c r="D15" s="12">
        <v>7.9</v>
      </c>
      <c r="E15" s="12">
        <v>8.15</v>
      </c>
      <c r="F15" s="13">
        <v>3.45</v>
      </c>
      <c r="G15" s="13">
        <v>23.8</v>
      </c>
      <c r="H15" s="14">
        <v>9.9</v>
      </c>
      <c r="I15" s="13">
        <v>7.05</v>
      </c>
      <c r="J15" s="13">
        <v>7.2</v>
      </c>
      <c r="K15" s="13">
        <v>16.100000000000001</v>
      </c>
      <c r="L15" s="13">
        <v>5.4</v>
      </c>
      <c r="M15" s="61">
        <v>7.9</v>
      </c>
      <c r="N15" s="61">
        <v>10.6</v>
      </c>
      <c r="O15" s="61">
        <v>7.32</v>
      </c>
      <c r="P15" s="61">
        <v>16.04</v>
      </c>
      <c r="Q15" s="62">
        <v>15.35</v>
      </c>
      <c r="R15" s="63">
        <v>2.9</v>
      </c>
      <c r="S15" s="63">
        <v>8.6999999999999993</v>
      </c>
      <c r="T15" s="63">
        <v>2.6</v>
      </c>
      <c r="U15" s="63">
        <v>12.6</v>
      </c>
      <c r="V15" s="63">
        <v>8.02</v>
      </c>
      <c r="W15" s="63">
        <v>7.08</v>
      </c>
      <c r="X15" s="68">
        <v>3.2</v>
      </c>
      <c r="Y15" s="63">
        <v>4.46</v>
      </c>
      <c r="Z15" s="63">
        <v>3.74</v>
      </c>
      <c r="AA15" s="63">
        <v>2.6</v>
      </c>
    </row>
    <row r="16" spans="1:27">
      <c r="A16" s="11">
        <v>15</v>
      </c>
      <c r="B16" s="1" t="str">
        <f>VLOOKUP(A16,kategorie!$A$2:$B$99,2,FALSE())</f>
        <v>nápojový karton</v>
      </c>
      <c r="C16" s="1" t="str">
        <f>VLOOKUP(B16,kategorie!$B$2:$C$99,2,FALSE())</f>
        <v>NÁPOJOVÉ KARTONY</v>
      </c>
      <c r="D16" s="12">
        <v>4.2</v>
      </c>
      <c r="E16" s="12">
        <v>4.45</v>
      </c>
      <c r="F16" s="13">
        <v>4.3</v>
      </c>
      <c r="G16" s="13">
        <v>3.45</v>
      </c>
      <c r="H16" s="14">
        <v>1.1499999999999999</v>
      </c>
      <c r="I16" s="13">
        <v>1.4</v>
      </c>
      <c r="J16" s="13">
        <v>2.9</v>
      </c>
      <c r="K16" s="13">
        <v>1.55</v>
      </c>
      <c r="L16" s="13">
        <v>2.7</v>
      </c>
      <c r="M16" s="61">
        <v>4.2</v>
      </c>
      <c r="N16" s="61">
        <v>1.7</v>
      </c>
      <c r="O16" s="61">
        <v>1.7</v>
      </c>
      <c r="P16" s="61">
        <v>2.68</v>
      </c>
      <c r="Q16" s="62">
        <v>3.15</v>
      </c>
      <c r="R16" s="63">
        <v>0.7</v>
      </c>
      <c r="S16" s="63">
        <v>0.1</v>
      </c>
      <c r="T16" s="63">
        <v>1.6</v>
      </c>
      <c r="U16" s="63">
        <v>2.5</v>
      </c>
      <c r="V16" s="63">
        <v>2.2000000000000002</v>
      </c>
      <c r="W16" s="63">
        <v>1.54</v>
      </c>
      <c r="X16" s="68">
        <v>0.94</v>
      </c>
      <c r="Y16" s="63">
        <v>2.14</v>
      </c>
      <c r="Z16" s="63">
        <v>0.94</v>
      </c>
      <c r="AA16" s="63">
        <v>0.6</v>
      </c>
    </row>
    <row r="17" spans="1:27">
      <c r="A17" s="11">
        <v>16</v>
      </c>
      <c r="B17" s="1" t="str">
        <f>VLOOKUP(A17,kategorie!$A$2:$B$99,2,FALSE())</f>
        <v>stavební odpad</v>
      </c>
      <c r="C17" s="1"/>
      <c r="D17" s="12">
        <v>44.4</v>
      </c>
      <c r="E17" s="12">
        <v>11.15</v>
      </c>
      <c r="F17" s="13">
        <v>24.5</v>
      </c>
      <c r="G17" s="13">
        <v>25.7</v>
      </c>
      <c r="H17" s="14">
        <v>10.65</v>
      </c>
      <c r="I17" s="13">
        <v>55.05</v>
      </c>
      <c r="J17" s="13">
        <v>0</v>
      </c>
      <c r="K17" s="13">
        <v>0</v>
      </c>
      <c r="L17" s="13">
        <v>9.5</v>
      </c>
      <c r="M17" s="61">
        <v>44.4</v>
      </c>
      <c r="N17" s="61">
        <v>31.9</v>
      </c>
      <c r="O17" s="61">
        <v>0.62</v>
      </c>
      <c r="P17" s="61">
        <v>12.2</v>
      </c>
      <c r="Q17" s="62">
        <v>18.600000000000001</v>
      </c>
      <c r="R17" s="63">
        <v>4.0999999999999996</v>
      </c>
      <c r="S17" s="63">
        <v>22.4</v>
      </c>
      <c r="T17" s="63">
        <v>2.7</v>
      </c>
      <c r="U17" s="63">
        <v>0</v>
      </c>
      <c r="V17" s="63">
        <v>0</v>
      </c>
      <c r="W17" s="63">
        <v>7.5</v>
      </c>
      <c r="X17" s="68">
        <v>1.1000000000000001</v>
      </c>
      <c r="Y17" s="63">
        <v>8.26</v>
      </c>
      <c r="Z17" s="63">
        <v>0.62</v>
      </c>
      <c r="AA17" s="63">
        <v>0</v>
      </c>
    </row>
    <row r="18" spans="1:27">
      <c r="A18" s="11">
        <v>17</v>
      </c>
      <c r="B18" s="1" t="str">
        <f>VLOOKUP(A18,kategorie!$A$2:$B$99,2,FALSE())</f>
        <v>léky</v>
      </c>
      <c r="C18" s="1"/>
      <c r="D18" s="12">
        <v>0</v>
      </c>
      <c r="E18" s="12">
        <v>0</v>
      </c>
      <c r="F18" s="13">
        <v>0</v>
      </c>
      <c r="G18" s="13">
        <v>0</v>
      </c>
      <c r="H18" s="14">
        <v>0</v>
      </c>
      <c r="I18" s="13">
        <v>0</v>
      </c>
      <c r="J18" s="13">
        <v>0</v>
      </c>
      <c r="K18" s="13">
        <v>0</v>
      </c>
      <c r="L18" s="13">
        <v>0.4</v>
      </c>
      <c r="M18" s="61">
        <v>0</v>
      </c>
      <c r="N18" s="61">
        <v>1.8</v>
      </c>
      <c r="O18" s="61">
        <v>0</v>
      </c>
      <c r="P18" s="61">
        <v>0</v>
      </c>
      <c r="Q18" s="62">
        <v>0.3</v>
      </c>
      <c r="R18" s="63">
        <v>0.12</v>
      </c>
      <c r="S18" s="63">
        <v>0</v>
      </c>
      <c r="T18" s="63">
        <v>0</v>
      </c>
      <c r="U18" s="63">
        <v>0.4</v>
      </c>
      <c r="V18" s="63">
        <v>0.1</v>
      </c>
      <c r="W18" s="71"/>
      <c r="X18" s="68">
        <v>0</v>
      </c>
      <c r="Y18" s="63">
        <v>0</v>
      </c>
      <c r="Z18" s="63">
        <v>0</v>
      </c>
      <c r="AA18" s="63">
        <v>0</v>
      </c>
    </row>
    <row r="19" spans="1:27">
      <c r="A19" s="11">
        <v>18</v>
      </c>
      <c r="B19" s="1" t="str">
        <f>VLOOKUP(A19,kategorie!$A$2:$B$99,2,FALSE())</f>
        <v>infekční/neinfekční odpad</v>
      </c>
      <c r="C19" s="1"/>
      <c r="D19" s="12">
        <v>32.6</v>
      </c>
      <c r="E19" s="12">
        <v>62.4</v>
      </c>
      <c r="F19" s="13">
        <v>49.8</v>
      </c>
      <c r="G19" s="13">
        <v>51.25</v>
      </c>
      <c r="H19" s="14">
        <v>20.9</v>
      </c>
      <c r="I19" s="13">
        <v>13.95</v>
      </c>
      <c r="J19" s="13">
        <v>30.25</v>
      </c>
      <c r="K19" s="13">
        <v>52.65</v>
      </c>
      <c r="L19" s="13">
        <v>39.1</v>
      </c>
      <c r="M19" s="61">
        <v>32.6</v>
      </c>
      <c r="N19" s="61">
        <v>55.9</v>
      </c>
      <c r="O19" s="61">
        <v>25.85</v>
      </c>
      <c r="P19" s="61">
        <v>8.7799999999999994</v>
      </c>
      <c r="Q19" s="62">
        <v>10</v>
      </c>
      <c r="R19" s="63">
        <v>15.1</v>
      </c>
      <c r="S19" s="63">
        <v>2</v>
      </c>
      <c r="T19" s="63">
        <v>6.8</v>
      </c>
      <c r="U19" s="63">
        <v>47.02</v>
      </c>
      <c r="V19" s="63">
        <v>26.9</v>
      </c>
      <c r="W19" s="63">
        <v>75.14</v>
      </c>
      <c r="X19" s="68">
        <v>8.6999999999999993</v>
      </c>
      <c r="Y19" s="63">
        <v>43.96</v>
      </c>
      <c r="Z19" s="63">
        <v>22.48</v>
      </c>
      <c r="AA19" s="63">
        <v>3</v>
      </c>
    </row>
    <row r="20" spans="1:27">
      <c r="A20" s="11">
        <v>19</v>
      </c>
      <c r="B20" s="1" t="str">
        <f>VLOOKUP(A20,kategorie!$A$2:$B$99,2,FALSE())</f>
        <v>popel</v>
      </c>
      <c r="C20" s="1"/>
      <c r="D20" s="12">
        <v>0</v>
      </c>
      <c r="E20" s="16">
        <v>0</v>
      </c>
      <c r="F20" s="13">
        <v>16.3</v>
      </c>
      <c r="G20" s="13">
        <v>0</v>
      </c>
      <c r="H20" s="14">
        <v>68</v>
      </c>
      <c r="I20" s="13">
        <v>0</v>
      </c>
      <c r="J20" s="13">
        <v>0</v>
      </c>
      <c r="K20" s="13">
        <v>0</v>
      </c>
      <c r="L20" s="13">
        <v>31.1</v>
      </c>
      <c r="M20" s="64">
        <v>0</v>
      </c>
      <c r="N20" s="61">
        <v>0</v>
      </c>
      <c r="O20" s="61">
        <v>0</v>
      </c>
      <c r="P20" s="61">
        <v>0</v>
      </c>
      <c r="Q20" s="62">
        <v>0</v>
      </c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8.82</v>
      </c>
      <c r="X20" s="68">
        <v>0</v>
      </c>
      <c r="Y20" s="63">
        <v>0</v>
      </c>
      <c r="Z20" s="63">
        <v>0</v>
      </c>
      <c r="AA20" s="63">
        <v>0</v>
      </c>
    </row>
    <row r="21" spans="1:27">
      <c r="A21" s="11">
        <v>20</v>
      </c>
      <c r="B21" s="1" t="str">
        <f>VLOOKUP(A21,kategorie!$A$2:$B$99,2,FALSE())</f>
        <v>směsný komunální odpad</v>
      </c>
      <c r="C21" s="1"/>
      <c r="D21" s="12">
        <v>42.6</v>
      </c>
      <c r="E21" s="12">
        <v>50</v>
      </c>
      <c r="F21" s="13">
        <v>62.2</v>
      </c>
      <c r="G21" s="13">
        <v>75.849999999999994</v>
      </c>
      <c r="H21" s="14">
        <v>87.65</v>
      </c>
      <c r="I21" s="13">
        <v>75.099999999999994</v>
      </c>
      <c r="J21" s="13">
        <v>40.85</v>
      </c>
      <c r="K21" s="13">
        <v>94.65</v>
      </c>
      <c r="L21" s="13">
        <v>107.5</v>
      </c>
      <c r="M21" s="61">
        <v>42.6</v>
      </c>
      <c r="N21" s="61">
        <v>54.6</v>
      </c>
      <c r="O21" s="61">
        <v>46.22</v>
      </c>
      <c r="P21" s="61">
        <v>73.06</v>
      </c>
      <c r="Q21" s="62">
        <v>61.5</v>
      </c>
      <c r="R21" s="63">
        <v>18.7</v>
      </c>
      <c r="S21" s="63">
        <v>23.9</v>
      </c>
      <c r="T21" s="63">
        <v>17.399999999999999</v>
      </c>
      <c r="U21" s="63">
        <v>100.6</v>
      </c>
      <c r="V21" s="63">
        <v>65</v>
      </c>
      <c r="W21" s="63">
        <v>30.2</v>
      </c>
      <c r="X21" s="68">
        <v>5.04</v>
      </c>
      <c r="Y21" s="63">
        <v>30.22</v>
      </c>
      <c r="Z21" s="63">
        <v>17.579999999999998</v>
      </c>
      <c r="AA21" s="63">
        <v>14.32</v>
      </c>
    </row>
    <row r="22" spans="1:27">
      <c r="A22" s="11">
        <v>21</v>
      </c>
      <c r="B22" s="1" t="str">
        <f>VLOOKUP(A22,kategorie!$A$2:$B$99,2,FALSE())</f>
        <v>nebezpečný odpad</v>
      </c>
      <c r="C22" s="1"/>
      <c r="D22" s="12">
        <v>0</v>
      </c>
      <c r="E22" s="16">
        <v>0</v>
      </c>
      <c r="F22" s="17">
        <v>0</v>
      </c>
      <c r="G22" s="17">
        <v>0</v>
      </c>
      <c r="H22" s="17">
        <v>0.25</v>
      </c>
      <c r="I22" s="17">
        <v>0</v>
      </c>
      <c r="J22" s="17">
        <v>0</v>
      </c>
      <c r="K22" s="17">
        <v>0</v>
      </c>
      <c r="L22" s="17">
        <v>0</v>
      </c>
      <c r="M22" s="65">
        <v>0</v>
      </c>
      <c r="N22" s="65">
        <v>0</v>
      </c>
      <c r="O22" s="65">
        <v>0</v>
      </c>
      <c r="P22" s="65">
        <v>27.54</v>
      </c>
      <c r="Q22" s="66">
        <v>0.7</v>
      </c>
      <c r="R22" s="72">
        <v>0</v>
      </c>
      <c r="S22" s="72">
        <v>0</v>
      </c>
      <c r="T22" s="72">
        <v>0</v>
      </c>
      <c r="U22" s="72">
        <v>0</v>
      </c>
      <c r="V22" s="72">
        <v>0.74</v>
      </c>
      <c r="W22" s="72">
        <v>0</v>
      </c>
      <c r="X22" s="73">
        <v>0</v>
      </c>
      <c r="Y22" s="72">
        <v>0</v>
      </c>
      <c r="Z22" s="72">
        <v>0</v>
      </c>
      <c r="AA22" s="72">
        <v>0</v>
      </c>
    </row>
    <row r="23" spans="1:27">
      <c r="A23" s="18"/>
      <c r="B23" s="18"/>
      <c r="C23" s="19"/>
    </row>
    <row r="24" spans="1:27">
      <c r="A24" s="18"/>
      <c r="B24" s="18"/>
      <c r="C24" s="19"/>
    </row>
    <row r="25" spans="1:27">
      <c r="A25" s="18"/>
      <c r="B25" s="18"/>
      <c r="C25" s="19"/>
    </row>
    <row r="26" spans="1:27">
      <c r="A26" s="18"/>
      <c r="B26" s="18"/>
      <c r="C26" s="19"/>
    </row>
    <row r="27" spans="1:27">
      <c r="A27" s="18"/>
      <c r="B27" s="18"/>
      <c r="C27" s="19"/>
    </row>
    <row r="28" spans="1:27">
      <c r="A28" s="18"/>
      <c r="B28" s="18"/>
      <c r="C28" s="19"/>
    </row>
    <row r="29" spans="1:27">
      <c r="A29" s="18"/>
      <c r="B29" s="18"/>
      <c r="C29" s="19"/>
    </row>
    <row r="30" spans="1:27">
      <c r="A30" s="18"/>
      <c r="B30" s="18"/>
      <c r="C30" s="19"/>
    </row>
    <row r="31" spans="1:27">
      <c r="A31" s="18"/>
      <c r="B31" s="18"/>
      <c r="C31" s="19"/>
    </row>
    <row r="32" spans="1:27">
      <c r="A32" s="18"/>
      <c r="B32" s="18"/>
      <c r="C32" s="19"/>
    </row>
    <row r="33" spans="1:3">
      <c r="A33" s="18"/>
      <c r="B33" s="18"/>
      <c r="C33" s="19"/>
    </row>
    <row r="34" spans="1:3">
      <c r="A34" s="18"/>
      <c r="B34" s="18"/>
      <c r="C34" s="19"/>
    </row>
    <row r="35" spans="1:3">
      <c r="A35" s="18"/>
      <c r="B35" s="18"/>
      <c r="C35" s="19"/>
    </row>
    <row r="36" spans="1:3">
      <c r="A36" s="18"/>
      <c r="B36" s="18"/>
      <c r="C36" s="19"/>
    </row>
    <row r="37" spans="1:3">
      <c r="A37" s="18"/>
      <c r="B37" s="18"/>
      <c r="C37" s="19"/>
    </row>
    <row r="38" spans="1:3">
      <c r="A38" s="18"/>
      <c r="B38" s="18"/>
      <c r="C38" s="19"/>
    </row>
    <row r="39" spans="1:3">
      <c r="A39" s="18"/>
      <c r="B39" s="18"/>
      <c r="C39" s="19"/>
    </row>
    <row r="40" spans="1:3">
      <c r="A40" s="18"/>
      <c r="B40" s="18"/>
      <c r="C40" s="19"/>
    </row>
    <row r="41" spans="1:3">
      <c r="A41" s="18"/>
      <c r="B41" s="18"/>
      <c r="C41" s="19"/>
    </row>
    <row r="42" spans="1:3">
      <c r="A42" s="18"/>
      <c r="B42" s="18"/>
      <c r="C42" s="19"/>
    </row>
    <row r="43" spans="1:3">
      <c r="A43" s="18"/>
      <c r="B43" s="18"/>
      <c r="C43" s="19"/>
    </row>
    <row r="44" spans="1:3">
      <c r="A44" s="18"/>
      <c r="B44" s="18"/>
      <c r="C44" s="18"/>
    </row>
    <row r="45" spans="1:3">
      <c r="A45" s="18"/>
      <c r="B45" s="18"/>
      <c r="C45" s="18"/>
    </row>
  </sheetData>
  <pageMargins left="0.7" right="0.7" top="0.78749999999999998" bottom="0.7874999999999999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operator="equal" showErrorMessage="1" xr:uid="{00000000-0002-0000-0100-000000000000}">
          <x14:formula1>
            <xm:f>kategorie!$A$2:$A$1048576</xm:f>
          </x14:formula1>
          <x14:formula2>
            <xm:f>0</xm:f>
          </x14:formula2>
          <xm:sqref>A2:A22</xm:sqref>
        </x14:dataValidation>
        <x14:dataValidation type="list" operator="equal" showErrorMessage="1" xr:uid="{00000000-0002-0000-0100-000001000000}">
          <x14:formula1>
            <xm:f>analyzy!$A$62:$A$1048576</xm:f>
          </x14:formula1>
          <x14:formula2>
            <xm:f>0</xm:f>
          </x14:formula2>
          <xm:sqref>A23:B43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36"/>
  <sheetViews>
    <sheetView zoomScale="90" zoomScaleNormal="90" workbookViewId="0">
      <selection activeCell="Z10" sqref="Z10"/>
    </sheetView>
  </sheetViews>
  <sheetFormatPr defaultColWidth="8.6640625" defaultRowHeight="14.4"/>
  <cols>
    <col min="1" max="1" width="9.33203125" customWidth="1"/>
    <col min="2" max="2" width="48" customWidth="1"/>
    <col min="3" max="3" width="22.33203125" customWidth="1"/>
    <col min="4" max="13" width="6.6640625" bestFit="1" customWidth="1"/>
    <col min="14" max="14" width="6.44140625" bestFit="1" customWidth="1"/>
    <col min="15" max="18" width="6.6640625" bestFit="1" customWidth="1"/>
    <col min="19" max="33" width="7.5546875" bestFit="1" customWidth="1"/>
  </cols>
  <sheetData>
    <row r="1" spans="1:33">
      <c r="A1" s="9" t="s">
        <v>29</v>
      </c>
      <c r="B1" s="9" t="s">
        <v>30</v>
      </c>
      <c r="C1" s="9" t="s">
        <v>31</v>
      </c>
      <c r="D1" s="9" t="s">
        <v>279</v>
      </c>
      <c r="E1" s="10" t="s">
        <v>280</v>
      </c>
      <c r="F1" s="10" t="s">
        <v>281</v>
      </c>
      <c r="G1" s="10" t="s">
        <v>282</v>
      </c>
      <c r="H1" s="10" t="s">
        <v>283</v>
      </c>
      <c r="I1" s="10" t="s">
        <v>284</v>
      </c>
      <c r="J1" s="10" t="s">
        <v>285</v>
      </c>
      <c r="K1" s="10" t="s">
        <v>286</v>
      </c>
      <c r="L1" s="10" t="s">
        <v>287</v>
      </c>
      <c r="M1" s="10" t="s">
        <v>288</v>
      </c>
      <c r="N1" s="10" t="s">
        <v>289</v>
      </c>
      <c r="O1" s="10" t="s">
        <v>290</v>
      </c>
      <c r="P1" s="10" t="s">
        <v>291</v>
      </c>
      <c r="Q1" s="10" t="s">
        <v>292</v>
      </c>
      <c r="R1" s="10" t="s">
        <v>293</v>
      </c>
      <c r="S1" s="10" t="s">
        <v>294</v>
      </c>
      <c r="T1" s="10" t="s">
        <v>41</v>
      </c>
      <c r="U1" s="10" t="s">
        <v>42</v>
      </c>
      <c r="V1" s="10" t="s">
        <v>43</v>
      </c>
      <c r="W1" s="10" t="s">
        <v>44</v>
      </c>
      <c r="X1" s="10" t="s">
        <v>45</v>
      </c>
      <c r="Y1" s="10" t="s">
        <v>46</v>
      </c>
      <c r="Z1" s="10" t="s">
        <v>47</v>
      </c>
      <c r="AA1" s="10" t="s">
        <v>48</v>
      </c>
      <c r="AB1" s="10" t="s">
        <v>49</v>
      </c>
      <c r="AC1" s="10" t="s">
        <v>50</v>
      </c>
      <c r="AD1" s="10" t="s">
        <v>51</v>
      </c>
      <c r="AE1" s="10" t="s">
        <v>52</v>
      </c>
      <c r="AF1" s="10" t="s">
        <v>53</v>
      </c>
      <c r="AG1" s="10" t="s">
        <v>54</v>
      </c>
    </row>
    <row r="2" spans="1:33">
      <c r="A2" s="1">
        <v>9</v>
      </c>
      <c r="B2" s="1" t="str">
        <f>VLOOKUP(A2,kategorie!$A$2:$B$99,2,FALSE())</f>
        <v>lepenka, karton</v>
      </c>
      <c r="C2" s="1" t="str">
        <f>VLOOKUP(B2,kategorie!$B$2:$C$99,2,FALSE())</f>
        <v>PAPIR</v>
      </c>
      <c r="D2" s="1">
        <v>2.7</v>
      </c>
      <c r="E2" s="1">
        <v>5.24</v>
      </c>
      <c r="F2" s="1">
        <v>8.5399999999999991</v>
      </c>
      <c r="G2" s="1">
        <v>6.32</v>
      </c>
      <c r="H2" s="1">
        <v>3.86</v>
      </c>
      <c r="I2" s="1">
        <v>7.54</v>
      </c>
      <c r="J2" s="1">
        <v>3.9</v>
      </c>
      <c r="K2" s="1">
        <v>4.8</v>
      </c>
      <c r="L2" s="1">
        <v>2.42</v>
      </c>
      <c r="M2" s="1">
        <v>2.98</v>
      </c>
      <c r="N2" s="1">
        <v>2.1</v>
      </c>
      <c r="O2" s="1">
        <v>4.9000000000000004</v>
      </c>
      <c r="P2" s="1">
        <v>5.92</v>
      </c>
      <c r="Q2" s="1">
        <v>6.4</v>
      </c>
      <c r="R2" s="1">
        <v>1.84</v>
      </c>
      <c r="S2" s="1">
        <v>3.04</v>
      </c>
      <c r="T2" s="1">
        <v>5.34</v>
      </c>
      <c r="U2" s="82">
        <v>2.11</v>
      </c>
      <c r="V2" s="82">
        <v>2.27</v>
      </c>
      <c r="W2" s="82">
        <v>1.63</v>
      </c>
      <c r="X2" s="82">
        <v>1.37</v>
      </c>
      <c r="Y2" s="82">
        <v>0.62</v>
      </c>
      <c r="Z2" s="82">
        <v>7.2</v>
      </c>
      <c r="AA2" s="82">
        <v>3.06</v>
      </c>
      <c r="AB2" s="82">
        <f>1.41+2.43+0.33</f>
        <v>4.17</v>
      </c>
      <c r="AC2" s="82">
        <f>4.31+3.41+6.25</f>
        <v>13.969999999999999</v>
      </c>
      <c r="AD2" s="82">
        <v>6.22</v>
      </c>
      <c r="AE2" s="82">
        <v>2.99</v>
      </c>
      <c r="AF2" s="82">
        <v>3.16</v>
      </c>
      <c r="AG2" s="82">
        <f>3.4+0.54</f>
        <v>3.94</v>
      </c>
    </row>
    <row r="3" spans="1:33">
      <c r="A3" s="1">
        <v>22</v>
      </c>
      <c r="B3" s="1" t="str">
        <f>VLOOKUP(A3,kategorie!$A$2:$B$99,2,FALSE())</f>
        <v>ostatní obalový</v>
      </c>
      <c r="C3" s="1" t="str">
        <f>VLOOKUP(B3,kategorie!$B$2:$C$99,2,FALSE())</f>
        <v>Ostatní ODPADY</v>
      </c>
      <c r="D3" s="1">
        <v>1.06</v>
      </c>
      <c r="E3" s="1">
        <v>3.42</v>
      </c>
      <c r="F3" s="1">
        <v>3.54</v>
      </c>
      <c r="G3" s="1">
        <v>1.58</v>
      </c>
      <c r="H3" s="1">
        <v>0.32</v>
      </c>
      <c r="I3" s="1">
        <v>2.06</v>
      </c>
      <c r="J3" s="1">
        <v>0.96</v>
      </c>
      <c r="K3" s="1">
        <v>1.62</v>
      </c>
      <c r="L3" s="1">
        <v>1.18</v>
      </c>
      <c r="M3" s="1">
        <v>0.8</v>
      </c>
      <c r="N3" s="1">
        <v>1.44</v>
      </c>
      <c r="O3" s="1">
        <v>1.42</v>
      </c>
      <c r="P3" s="1">
        <v>1.4</v>
      </c>
      <c r="Q3" s="1">
        <v>1.32</v>
      </c>
      <c r="R3" s="1">
        <v>0.26</v>
      </c>
      <c r="S3" s="1">
        <v>0.56000000000000005</v>
      </c>
      <c r="T3" s="1">
        <v>1.28</v>
      </c>
      <c r="U3" s="82">
        <v>0.87</v>
      </c>
      <c r="V3" s="82">
        <v>0.44</v>
      </c>
      <c r="W3" s="82">
        <v>0.24</v>
      </c>
      <c r="X3" s="82">
        <v>0.17</v>
      </c>
      <c r="Y3" s="82">
        <v>0.18</v>
      </c>
      <c r="Z3" s="82">
        <f>5.26+1.4</f>
        <v>6.66</v>
      </c>
      <c r="AA3" s="82">
        <v>0.6</v>
      </c>
      <c r="AB3" s="82">
        <v>0.82</v>
      </c>
      <c r="AC3" s="82">
        <v>1.0900000000000001</v>
      </c>
      <c r="AD3" s="82">
        <f>2.23+0.93</f>
        <v>3.16</v>
      </c>
      <c r="AE3" s="82">
        <v>0.55000000000000004</v>
      </c>
      <c r="AF3" s="82">
        <v>0.66</v>
      </c>
      <c r="AG3" s="82">
        <v>2.12</v>
      </c>
    </row>
    <row r="4" spans="1:33">
      <c r="A4" s="1">
        <v>23</v>
      </c>
      <c r="B4" s="1" t="str">
        <f>VLOOKUP(A4,kategorie!$A$2:$B$99,2,FALSE())</f>
        <v>časopisy, letáky, novinový a kancelářský papír a podobné</v>
      </c>
      <c r="C4" s="1" t="str">
        <f>VLOOKUP(B4,kategorie!$B$2:$C$99,2,FALSE())</f>
        <v>PAPIR</v>
      </c>
      <c r="D4" s="1">
        <v>2.2999999999999998</v>
      </c>
      <c r="E4" s="1">
        <v>2.66</v>
      </c>
      <c r="F4" s="1">
        <v>4.32</v>
      </c>
      <c r="G4" s="1">
        <v>2.8</v>
      </c>
      <c r="H4" s="1">
        <v>4.62</v>
      </c>
      <c r="I4" s="1">
        <v>6.4</v>
      </c>
      <c r="J4" s="1">
        <v>2.98</v>
      </c>
      <c r="K4" s="1">
        <v>3.9</v>
      </c>
      <c r="L4" s="1">
        <v>1</v>
      </c>
      <c r="M4" s="1">
        <v>2.78</v>
      </c>
      <c r="N4" s="1">
        <v>1.06</v>
      </c>
      <c r="O4" s="1">
        <v>3.9</v>
      </c>
      <c r="P4" s="1">
        <v>12.12</v>
      </c>
      <c r="Q4" s="1">
        <v>1.54</v>
      </c>
      <c r="R4" s="1">
        <v>0.92</v>
      </c>
      <c r="S4" s="1">
        <v>1.36</v>
      </c>
      <c r="T4" s="1">
        <v>4.54</v>
      </c>
      <c r="U4" s="82">
        <v>0.44</v>
      </c>
      <c r="V4" s="82">
        <v>0.96</v>
      </c>
      <c r="W4" s="82">
        <v>0.73</v>
      </c>
      <c r="X4" s="82">
        <v>0.6</v>
      </c>
      <c r="Y4" s="82">
        <v>0.22</v>
      </c>
      <c r="Z4" s="82">
        <v>9.64</v>
      </c>
      <c r="AA4" s="82">
        <v>1.45</v>
      </c>
      <c r="AB4" s="82">
        <f>2.66+0.99</f>
        <v>3.6500000000000004</v>
      </c>
      <c r="AC4" s="82">
        <v>4.5599999999999996</v>
      </c>
      <c r="AD4" s="82">
        <v>2.3199999999999998</v>
      </c>
      <c r="AE4" s="82">
        <v>2.58</v>
      </c>
      <c r="AF4" s="82">
        <v>2.2999999999999998</v>
      </c>
      <c r="AG4" s="82">
        <v>3.74</v>
      </c>
    </row>
    <row r="5" spans="1:33">
      <c r="A5" s="1">
        <v>5</v>
      </c>
      <c r="B5" s="1" t="str">
        <f>VLOOKUP(A5,kategorie!$A$2:$B$99,2,FALSE())</f>
        <v>plastové folie</v>
      </c>
      <c r="C5" s="1" t="str">
        <f>VLOOKUP(B5,kategorie!$B$2:$C$99,2,FALSE())</f>
        <v>PLAST</v>
      </c>
      <c r="D5" s="1">
        <v>2.46</v>
      </c>
      <c r="E5" s="1">
        <v>3.98</v>
      </c>
      <c r="F5" s="1">
        <v>4.9800000000000004</v>
      </c>
      <c r="G5" s="1">
        <v>2.42</v>
      </c>
      <c r="H5" s="1">
        <v>1.32</v>
      </c>
      <c r="I5" s="1">
        <v>3.12</v>
      </c>
      <c r="J5" s="1">
        <v>3.3</v>
      </c>
      <c r="K5" s="1">
        <v>4.1399999999999997</v>
      </c>
      <c r="L5" s="1">
        <v>2.98</v>
      </c>
      <c r="M5" s="1">
        <v>2.82</v>
      </c>
      <c r="N5" s="1">
        <v>0.88</v>
      </c>
      <c r="O5" s="1">
        <v>4.24</v>
      </c>
      <c r="P5" s="1">
        <v>6.72</v>
      </c>
      <c r="Q5" s="1">
        <v>2.72</v>
      </c>
      <c r="R5" s="1">
        <v>1.02</v>
      </c>
      <c r="S5" s="1">
        <v>1.86</v>
      </c>
      <c r="T5" s="1">
        <v>4.22</v>
      </c>
      <c r="U5" s="82">
        <v>2.54</v>
      </c>
      <c r="V5" s="82">
        <v>3</v>
      </c>
      <c r="W5" s="82">
        <v>1.28</v>
      </c>
      <c r="X5" s="82">
        <v>1.25</v>
      </c>
      <c r="Y5" s="82">
        <v>0.38</v>
      </c>
      <c r="Z5" s="82">
        <f>2.15+4</f>
        <v>6.15</v>
      </c>
      <c r="AA5" s="82">
        <f>3.13+0.95</f>
        <v>4.08</v>
      </c>
      <c r="AB5" s="82">
        <v>2.52</v>
      </c>
      <c r="AC5" s="82">
        <f>2.2+1.5</f>
        <v>3.7</v>
      </c>
      <c r="AD5" s="82">
        <f>3.35+2.11</f>
        <v>5.46</v>
      </c>
      <c r="AE5" s="82">
        <v>3.14</v>
      </c>
      <c r="AF5" s="82">
        <v>1.34</v>
      </c>
      <c r="AG5" s="82">
        <v>2.1800000000000002</v>
      </c>
    </row>
    <row r="6" spans="1:33">
      <c r="A6" s="1">
        <v>7</v>
      </c>
      <c r="B6" s="1" t="str">
        <f>VLOOKUP(A6,kategorie!$A$2:$B$99,2,FALSE())</f>
        <v>HDP tvrdé plasty</v>
      </c>
      <c r="C6" s="1" t="str">
        <f>VLOOKUP(B6,kategorie!$B$2:$C$99,2,FALSE())</f>
        <v>PLAST</v>
      </c>
      <c r="D6" s="1">
        <v>1.66</v>
      </c>
      <c r="E6" s="1">
        <v>2.94</v>
      </c>
      <c r="F6" s="1">
        <v>6.14</v>
      </c>
      <c r="G6" s="1">
        <v>1.92</v>
      </c>
      <c r="H6" s="1">
        <v>2.58</v>
      </c>
      <c r="I6" s="1">
        <v>1.22</v>
      </c>
      <c r="J6" s="1">
        <v>1.68</v>
      </c>
      <c r="K6" s="1">
        <v>3.36</v>
      </c>
      <c r="L6" s="1">
        <v>5.0999999999999996</v>
      </c>
      <c r="M6" s="1">
        <v>3.24</v>
      </c>
      <c r="N6" s="1">
        <v>0.7</v>
      </c>
      <c r="O6" s="1">
        <v>2.71</v>
      </c>
      <c r="P6" s="1">
        <v>2.98</v>
      </c>
      <c r="Q6" s="1">
        <v>3.3</v>
      </c>
      <c r="R6" s="1">
        <v>1.3</v>
      </c>
      <c r="S6" s="1">
        <v>3.04</v>
      </c>
      <c r="T6" s="1">
        <v>4.62</v>
      </c>
      <c r="U6" s="82">
        <v>0.49</v>
      </c>
      <c r="V6" s="82">
        <v>1.2</v>
      </c>
      <c r="W6" s="82">
        <v>0.79</v>
      </c>
      <c r="X6" s="82">
        <v>0.55000000000000004</v>
      </c>
      <c r="Y6" s="82">
        <v>0.55000000000000004</v>
      </c>
      <c r="Z6" s="82">
        <v>4.22</v>
      </c>
      <c r="AA6" s="82">
        <v>2.09</v>
      </c>
      <c r="AB6" s="82">
        <v>2.4</v>
      </c>
      <c r="AC6" s="82">
        <v>4.0999999999999996</v>
      </c>
      <c r="AD6" s="82">
        <v>1.7</v>
      </c>
      <c r="AE6" s="82">
        <v>1.74</v>
      </c>
      <c r="AF6" s="82">
        <f>2.72+0.16+0.52+0.68</f>
        <v>4.08</v>
      </c>
      <c r="AG6" s="82">
        <v>2.44</v>
      </c>
    </row>
    <row r="7" spans="1:33">
      <c r="A7" s="1">
        <v>6</v>
      </c>
      <c r="B7" s="1" t="str">
        <f>VLOOKUP(A7,kategorie!$A$2:$B$99,2,FALSE())</f>
        <v>PET lahve</v>
      </c>
      <c r="C7" s="1" t="str">
        <f>VLOOKUP(B7,kategorie!$B$2:$C$99,2,FALSE())</f>
        <v>PLAST</v>
      </c>
      <c r="D7" s="1">
        <v>0.57999999999999996</v>
      </c>
      <c r="E7" s="1">
        <v>1.86</v>
      </c>
      <c r="F7" s="1">
        <v>3.42</v>
      </c>
      <c r="G7" s="1">
        <v>2.04</v>
      </c>
      <c r="H7" s="1">
        <v>2.96</v>
      </c>
      <c r="I7" s="1">
        <v>2.96</v>
      </c>
      <c r="J7" s="1">
        <v>0.9</v>
      </c>
      <c r="K7" s="1">
        <v>1.74</v>
      </c>
      <c r="L7" s="1">
        <v>2.54</v>
      </c>
      <c r="M7" s="1">
        <v>0.8</v>
      </c>
      <c r="N7" s="1">
        <v>0.84</v>
      </c>
      <c r="O7" s="1">
        <v>1.7</v>
      </c>
      <c r="P7" s="1">
        <v>4.18</v>
      </c>
      <c r="Q7" s="1">
        <v>1.9</v>
      </c>
      <c r="R7" s="1">
        <v>0.5</v>
      </c>
      <c r="S7" s="1">
        <v>0.96</v>
      </c>
      <c r="T7" s="1">
        <v>1.18</v>
      </c>
      <c r="U7" s="82">
        <v>0.56999999999999995</v>
      </c>
      <c r="V7" s="82">
        <v>0.79</v>
      </c>
      <c r="W7" s="82">
        <v>0.98</v>
      </c>
      <c r="X7" s="82">
        <v>0.12</v>
      </c>
      <c r="Y7" s="82">
        <v>0.21</v>
      </c>
      <c r="Z7" s="82">
        <f>2.43+1.82+2.15+1.34+0.65+0.54</f>
        <v>8.93</v>
      </c>
      <c r="AA7" s="82">
        <v>1.67</v>
      </c>
      <c r="AB7" s="82">
        <f>1.46+0.02</f>
        <v>1.48</v>
      </c>
      <c r="AC7" s="82">
        <f>2.39+1.81</f>
        <v>4.2</v>
      </c>
      <c r="AD7" s="82">
        <v>0.99</v>
      </c>
      <c r="AE7" s="82">
        <v>1.64</v>
      </c>
      <c r="AF7" s="82">
        <f>0.96+0.1</f>
        <v>1.06</v>
      </c>
      <c r="AG7" s="82">
        <f>1.94+0.12</f>
        <v>2.06</v>
      </c>
    </row>
    <row r="8" spans="1:33">
      <c r="A8" s="1">
        <v>24</v>
      </c>
      <c r="B8" s="1" t="str">
        <f>VLOOKUP(A8,kategorie!$A$2:$B$99,2,FALSE())</f>
        <v>PS</v>
      </c>
      <c r="C8" s="1" t="str">
        <f>VLOOKUP(B8,kategorie!$B$2:$C$99,2,FALSE())</f>
        <v>PLAST</v>
      </c>
      <c r="D8" s="1"/>
      <c r="E8" s="1">
        <v>1E-3</v>
      </c>
      <c r="F8" s="1"/>
      <c r="G8" s="1">
        <v>0.12</v>
      </c>
      <c r="H8" s="1">
        <v>0.34</v>
      </c>
      <c r="I8" s="1">
        <v>0</v>
      </c>
      <c r="J8" s="1">
        <v>1E-3</v>
      </c>
      <c r="K8" s="1">
        <v>0</v>
      </c>
      <c r="L8" s="1">
        <v>1E-3</v>
      </c>
      <c r="M8" s="1">
        <v>0.18</v>
      </c>
      <c r="N8" s="1"/>
      <c r="O8" s="1"/>
      <c r="P8" s="1">
        <v>0.52</v>
      </c>
      <c r="Q8" s="1">
        <v>0.38</v>
      </c>
      <c r="R8" s="1">
        <v>0.3</v>
      </c>
      <c r="S8" s="1">
        <v>7.0000000000000007E-2</v>
      </c>
      <c r="T8" s="1">
        <v>0.08</v>
      </c>
      <c r="U8" s="82">
        <v>0.05</v>
      </c>
      <c r="V8" s="82">
        <v>7.0000000000000007E-2</v>
      </c>
      <c r="W8" s="82">
        <v>0</v>
      </c>
      <c r="X8" s="82">
        <v>0</v>
      </c>
      <c r="Y8" s="82">
        <v>0.03</v>
      </c>
      <c r="Z8" s="82">
        <v>0.32</v>
      </c>
      <c r="AA8" s="82">
        <v>0.1</v>
      </c>
      <c r="AB8" s="82">
        <v>0.09</v>
      </c>
      <c r="AC8" s="82">
        <v>0.32</v>
      </c>
      <c r="AD8" s="82">
        <v>0.16</v>
      </c>
      <c r="AE8" s="82"/>
      <c r="AF8" s="82">
        <v>0.2</v>
      </c>
      <c r="AG8" s="82">
        <v>0.14000000000000001</v>
      </c>
    </row>
    <row r="9" spans="1:33">
      <c r="A9" s="1">
        <v>4</v>
      </c>
      <c r="B9" s="1" t="str">
        <f>VLOOKUP(A9,kategorie!$A$2:$B$99,2,FALSE())</f>
        <v>plast měkký</v>
      </c>
      <c r="C9" s="1" t="str">
        <f>VLOOKUP(B9,kategorie!$B$2:$C$99,2,FALSE())</f>
        <v>PLAST</v>
      </c>
      <c r="D9" s="1">
        <v>3.98</v>
      </c>
      <c r="E9" s="1">
        <v>7.08</v>
      </c>
      <c r="F9" s="1">
        <v>13.22</v>
      </c>
      <c r="G9" s="1">
        <v>6.76</v>
      </c>
      <c r="H9" s="1">
        <v>5.82</v>
      </c>
      <c r="I9" s="1">
        <v>5.7</v>
      </c>
      <c r="J9" s="1">
        <v>5.22</v>
      </c>
      <c r="K9" s="1">
        <v>5.5</v>
      </c>
      <c r="L9" s="1">
        <v>8.48</v>
      </c>
      <c r="M9" s="1">
        <v>4</v>
      </c>
      <c r="N9" s="1">
        <v>1.72</v>
      </c>
      <c r="O9" s="1">
        <v>8.6</v>
      </c>
      <c r="P9" s="1">
        <v>11.5</v>
      </c>
      <c r="Q9" s="1">
        <v>6.18</v>
      </c>
      <c r="R9" s="1">
        <v>1.72</v>
      </c>
      <c r="S9" s="1">
        <v>3.68</v>
      </c>
      <c r="T9" s="1">
        <v>9.36</v>
      </c>
      <c r="U9" s="82">
        <f>0.9+2.75</f>
        <v>3.65</v>
      </c>
      <c r="V9" s="82">
        <f>1.01+2.28</f>
        <v>3.29</v>
      </c>
      <c r="W9" s="82">
        <v>2.13</v>
      </c>
      <c r="X9" s="82">
        <v>2.06</v>
      </c>
      <c r="Y9" s="82">
        <v>0.84</v>
      </c>
      <c r="Z9" s="82">
        <f>3.35+3.18+3.53+2.52+1.89</f>
        <v>14.47</v>
      </c>
      <c r="AA9" s="82">
        <f>1.78+2.66+2.25</f>
        <v>6.69</v>
      </c>
      <c r="AB9" s="82">
        <f>2.35+2.53</f>
        <v>4.88</v>
      </c>
      <c r="AC9" s="82">
        <f>1.69+1.62+1.53+1.49+1.5+1.3+2.79</f>
        <v>11.920000000000002</v>
      </c>
      <c r="AD9" s="82">
        <f>0.71+1.84+1.59</f>
        <v>4.1399999999999997</v>
      </c>
      <c r="AE9" s="82">
        <f>2.08+1.85+1.65+2.02</f>
        <v>7.6</v>
      </c>
      <c r="AF9" s="82">
        <f>2.16+1.76+2.5</f>
        <v>6.42</v>
      </c>
      <c r="AG9" s="82">
        <f>2+1.9+1.86+3.06</f>
        <v>8.82</v>
      </c>
    </row>
    <row r="10" spans="1:33">
      <c r="A10" s="1">
        <v>2</v>
      </c>
      <c r="B10" s="1" t="str">
        <f>VLOOKUP(A10,kategorie!$A$2:$B$99,2,FALSE())</f>
        <v>kuchyňský odpad kompostovatelný</v>
      </c>
      <c r="C10" s="1" t="str">
        <f>VLOOKUP(B10,kategorie!$B$2:$C$99,2,FALSE())</f>
        <v>BIO</v>
      </c>
      <c r="D10" s="1">
        <v>38.96</v>
      </c>
      <c r="E10" s="1">
        <v>50.18</v>
      </c>
      <c r="F10" s="1">
        <v>32.46</v>
      </c>
      <c r="G10" s="1">
        <v>12.08</v>
      </c>
      <c r="H10" s="1">
        <v>21.3</v>
      </c>
      <c r="I10" s="1">
        <v>52.56</v>
      </c>
      <c r="J10" s="1">
        <v>31.18</v>
      </c>
      <c r="K10" s="1">
        <v>50.72</v>
      </c>
      <c r="L10" s="1">
        <v>23.7</v>
      </c>
      <c r="M10" s="1">
        <v>25.44</v>
      </c>
      <c r="N10" s="1">
        <v>7.64</v>
      </c>
      <c r="O10" s="1">
        <v>30.36</v>
      </c>
      <c r="P10" s="1">
        <v>73.28</v>
      </c>
      <c r="Q10" s="1">
        <v>19.38</v>
      </c>
      <c r="R10" s="1">
        <v>10.38</v>
      </c>
      <c r="S10" s="1">
        <v>16.600000000000001</v>
      </c>
      <c r="T10" s="1">
        <v>33.119999999999997</v>
      </c>
      <c r="U10" s="82">
        <f>20.54+12.35</f>
        <v>32.89</v>
      </c>
      <c r="V10" s="82">
        <f>12.86+14.04+14.47+14.65</f>
        <v>56.019999999999996</v>
      </c>
      <c r="W10" s="82">
        <v>18.57</v>
      </c>
      <c r="X10" s="82">
        <v>20.170000000000002</v>
      </c>
      <c r="Y10" s="82">
        <v>3.44</v>
      </c>
      <c r="Z10" s="82">
        <f>17.18+15.53+13.53</f>
        <v>46.24</v>
      </c>
      <c r="AA10" s="82">
        <v>17.600000000000001</v>
      </c>
      <c r="AB10" s="82">
        <f>4.5+20.98</f>
        <v>25.48</v>
      </c>
      <c r="AC10" s="82">
        <f>27.1+20.84</f>
        <v>47.94</v>
      </c>
      <c r="AD10" s="82">
        <f>20.5+10.16+13.74</f>
        <v>44.4</v>
      </c>
      <c r="AE10" s="82">
        <f>19.79+16.3</f>
        <v>36.090000000000003</v>
      </c>
      <c r="AF10" s="82">
        <v>12.24</v>
      </c>
      <c r="AG10" s="82">
        <f>14.1+18.36</f>
        <v>32.46</v>
      </c>
    </row>
    <row r="11" spans="1:33">
      <c r="A11" s="1">
        <v>3</v>
      </c>
      <c r="B11" s="1" t="str">
        <f>VLOOKUP(A11,kategorie!$A$2:$B$99,2,FALSE())</f>
        <v>kuchyňský odpad nekompostovatelný</v>
      </c>
      <c r="C11" s="1" t="str">
        <f>VLOOKUP(B11,kategorie!$B$2:$C$99,2,FALSE())</f>
        <v>BIO</v>
      </c>
      <c r="D11" s="1">
        <v>32.24</v>
      </c>
      <c r="E11" s="1">
        <v>44.84</v>
      </c>
      <c r="F11" s="1">
        <v>74.94</v>
      </c>
      <c r="G11" s="1">
        <v>43.06</v>
      </c>
      <c r="H11" s="1">
        <v>28.68</v>
      </c>
      <c r="I11" s="1">
        <v>27.66</v>
      </c>
      <c r="J11" s="1">
        <v>16.66</v>
      </c>
      <c r="K11" s="1">
        <v>44.44</v>
      </c>
      <c r="L11" s="1">
        <v>47.06</v>
      </c>
      <c r="M11" s="1">
        <v>13.62</v>
      </c>
      <c r="N11" s="1">
        <v>9.16</v>
      </c>
      <c r="O11" s="1">
        <v>49</v>
      </c>
      <c r="P11" s="1">
        <v>58.2</v>
      </c>
      <c r="Q11" s="1">
        <v>20.079999999999998</v>
      </c>
      <c r="R11" s="1">
        <v>7.84</v>
      </c>
      <c r="S11" s="1">
        <v>18.440000000000001</v>
      </c>
      <c r="T11" s="1">
        <v>66.52</v>
      </c>
      <c r="U11" s="82">
        <f>17.9</f>
        <v>17.899999999999999</v>
      </c>
      <c r="V11" s="82">
        <f>15.34+8.34</f>
        <v>23.68</v>
      </c>
      <c r="W11" s="82">
        <v>16.8</v>
      </c>
      <c r="X11" s="82">
        <v>11.42</v>
      </c>
      <c r="Y11" s="82">
        <v>1.46</v>
      </c>
      <c r="Z11" s="82">
        <f>21.25+7.54+16.3</f>
        <v>45.09</v>
      </c>
      <c r="AA11" s="82">
        <v>15.13</v>
      </c>
      <c r="AB11" s="82">
        <f>19+3.92+3.1+0.82-0.35</f>
        <v>26.490000000000002</v>
      </c>
      <c r="AC11" s="82">
        <f>22.2+19.35</f>
        <v>41.55</v>
      </c>
      <c r="AD11" s="82">
        <f>16.24+4.06</f>
        <v>20.299999999999997</v>
      </c>
      <c r="AE11" s="82">
        <f>13.17+13.75</f>
        <v>26.92</v>
      </c>
      <c r="AF11" s="82">
        <f>2.86+8.24</f>
        <v>11.1</v>
      </c>
      <c r="AG11" s="82">
        <f>15.64+11.46</f>
        <v>27.1</v>
      </c>
    </row>
    <row r="12" spans="1:33">
      <c r="A12" s="1">
        <v>25</v>
      </c>
      <c r="B12" s="1" t="str">
        <f>VLOOKUP(A12,kategorie!$A$2:$B$99,2,FALSE())</f>
        <v>ze zahrad a parků</v>
      </c>
      <c r="C12" s="1" t="str">
        <f>VLOOKUP(B12,kategorie!$B$2:$C$99,2,FALSE())</f>
        <v>BIO</v>
      </c>
      <c r="D12" s="1">
        <v>11.24</v>
      </c>
      <c r="E12" s="1">
        <v>10.9</v>
      </c>
      <c r="F12" s="1">
        <v>23.12</v>
      </c>
      <c r="G12" s="1">
        <v>61.4</v>
      </c>
      <c r="H12" s="1">
        <v>27.48</v>
      </c>
      <c r="I12" s="1">
        <v>9.08</v>
      </c>
      <c r="J12" s="1">
        <v>39.74</v>
      </c>
      <c r="K12" s="1">
        <v>35.24</v>
      </c>
      <c r="L12" s="1">
        <v>9.34</v>
      </c>
      <c r="M12" s="1">
        <v>27.3</v>
      </c>
      <c r="N12" s="1">
        <v>2.5</v>
      </c>
      <c r="O12" s="1">
        <v>28.36</v>
      </c>
      <c r="P12" s="1">
        <v>23.62</v>
      </c>
      <c r="Q12" s="1">
        <v>22.36</v>
      </c>
      <c r="R12" s="1">
        <v>13.96</v>
      </c>
      <c r="S12" s="1">
        <v>2.36</v>
      </c>
      <c r="T12" s="1">
        <v>7.52</v>
      </c>
      <c r="U12" s="82">
        <f>5.58</f>
        <v>5.58</v>
      </c>
      <c r="V12" s="82">
        <f>4.86+5.52+4.97+8.23</f>
        <v>23.58</v>
      </c>
      <c r="W12" s="82">
        <v>0.46</v>
      </c>
      <c r="X12" s="82">
        <v>2.58</v>
      </c>
      <c r="Y12" s="82">
        <v>7.54</v>
      </c>
      <c r="Z12" s="82">
        <v>6.42</v>
      </c>
      <c r="AA12" s="82">
        <v>6.18</v>
      </c>
      <c r="AB12" s="82">
        <f>0.78+0.06</f>
        <v>0.84000000000000008</v>
      </c>
      <c r="AC12" s="82">
        <v>5.79</v>
      </c>
      <c r="AD12" s="82">
        <v>1.19</v>
      </c>
      <c r="AE12" s="82">
        <f>2.39+0.19</f>
        <v>2.58</v>
      </c>
      <c r="AF12" s="82">
        <v>17.600000000000001</v>
      </c>
      <c r="AG12" s="82">
        <v>3.58</v>
      </c>
    </row>
    <row r="13" spans="1:33">
      <c r="A13" s="1">
        <v>12</v>
      </c>
      <c r="B13" s="1" t="str">
        <f>VLOOKUP(A13,kategorie!$A$2:$B$99,2,FALSE())</f>
        <v>procesované dřevo</v>
      </c>
      <c r="C13" s="1" t="str">
        <f>VLOOKUP(B13,kategorie!$B$2:$C$99,2,FALSE())</f>
        <v>DŘEVO - upravené</v>
      </c>
      <c r="D13" s="1">
        <v>0</v>
      </c>
      <c r="E13" s="1">
        <v>2.2599999999999998</v>
      </c>
      <c r="F13" s="1">
        <v>0</v>
      </c>
      <c r="G13" s="1">
        <v>2.2400000000000002</v>
      </c>
      <c r="H13" s="1">
        <v>1.1000000000000001</v>
      </c>
      <c r="I13" s="1">
        <v>0.06</v>
      </c>
      <c r="J13" s="1">
        <v>0</v>
      </c>
      <c r="K13" s="1">
        <v>0.44</v>
      </c>
      <c r="L13" s="1">
        <v>1.88</v>
      </c>
      <c r="M13" s="1">
        <v>0</v>
      </c>
      <c r="N13" s="1">
        <v>0</v>
      </c>
      <c r="O13" s="1">
        <v>0.08</v>
      </c>
      <c r="P13" s="1">
        <v>0.38</v>
      </c>
      <c r="Q13" s="1">
        <v>14.98</v>
      </c>
      <c r="R13" s="1"/>
      <c r="S13" s="1">
        <v>1.2</v>
      </c>
      <c r="T13" s="1">
        <v>1.06</v>
      </c>
      <c r="U13" s="82">
        <v>0.01</v>
      </c>
      <c r="V13" s="82">
        <v>0</v>
      </c>
      <c r="W13" s="82">
        <v>0.04</v>
      </c>
      <c r="X13" s="82">
        <v>8.64</v>
      </c>
      <c r="Y13" s="82">
        <v>0.01</v>
      </c>
      <c r="Z13" s="82">
        <v>1.6</v>
      </c>
      <c r="AA13" s="82">
        <f>0.05+0.04</f>
        <v>0.09</v>
      </c>
      <c r="AB13" s="82">
        <f>2.59-0.44</f>
        <v>2.15</v>
      </c>
      <c r="AC13" s="82">
        <v>0.22</v>
      </c>
      <c r="AD13" s="82">
        <v>2.4900000000000002</v>
      </c>
      <c r="AE13" s="82">
        <v>1.29</v>
      </c>
      <c r="AF13" s="82">
        <f>0.18+0.2</f>
        <v>0.38</v>
      </c>
      <c r="AG13" s="82">
        <v>0.34</v>
      </c>
    </row>
    <row r="14" spans="1:33">
      <c r="A14" s="1">
        <v>26</v>
      </c>
      <c r="B14" s="1" t="str">
        <f>VLOOKUP(A14,kategorie!$A$2:$B$99,2,FALSE())</f>
        <v>sklo obalové</v>
      </c>
      <c r="C14" s="1" t="str">
        <f>VLOOKUP(B14,kategorie!$B$2:$C$99,2,FALSE())</f>
        <v>SKLO</v>
      </c>
      <c r="D14" s="1">
        <v>6.54</v>
      </c>
      <c r="E14" s="1">
        <v>16.12</v>
      </c>
      <c r="F14" s="1">
        <v>13.66</v>
      </c>
      <c r="G14" s="1">
        <v>7.1</v>
      </c>
      <c r="H14" s="1">
        <v>9.52</v>
      </c>
      <c r="I14" s="1">
        <v>9.8000000000000007</v>
      </c>
      <c r="J14" s="1">
        <v>10.85</v>
      </c>
      <c r="K14" s="1">
        <v>7.64</v>
      </c>
      <c r="L14" s="1">
        <v>7.4</v>
      </c>
      <c r="M14" s="1">
        <v>6.88</v>
      </c>
      <c r="N14" s="1">
        <v>2.38</v>
      </c>
      <c r="O14" s="1">
        <v>7.12</v>
      </c>
      <c r="P14" s="1">
        <v>21.42</v>
      </c>
      <c r="Q14" s="1">
        <v>16.32</v>
      </c>
      <c r="R14" s="1">
        <v>1.3</v>
      </c>
      <c r="S14" s="1">
        <v>20.64</v>
      </c>
      <c r="T14" s="1">
        <v>6.38</v>
      </c>
      <c r="U14" s="82">
        <v>3.32</v>
      </c>
      <c r="V14" s="82">
        <v>7.57</v>
      </c>
      <c r="W14" s="82">
        <v>1.6</v>
      </c>
      <c r="X14" s="82">
        <v>2.0699999999999998</v>
      </c>
      <c r="Y14" s="82">
        <v>0.23</v>
      </c>
      <c r="Z14" s="82">
        <f>6.34+11.62+0.23+0.2</f>
        <v>18.39</v>
      </c>
      <c r="AA14" s="82">
        <f>2.58+0.14</f>
        <v>2.72</v>
      </c>
      <c r="AB14" s="82">
        <f>4.47+0.35+0.15</f>
        <v>4.97</v>
      </c>
      <c r="AC14" s="82">
        <f>13.55+2.34</f>
        <v>15.89</v>
      </c>
      <c r="AD14" s="82">
        <v>4.75</v>
      </c>
      <c r="AE14" s="82">
        <v>4.58</v>
      </c>
      <c r="AF14" s="82">
        <v>8.1199999999999992</v>
      </c>
      <c r="AG14" s="82">
        <v>11.06</v>
      </c>
    </row>
    <row r="15" spans="1:33">
      <c r="A15" s="1">
        <v>27</v>
      </c>
      <c r="B15" s="1" t="str">
        <f>VLOOKUP(A15,kategorie!$A$2:$B$99,2,FALSE())</f>
        <v>sklo ostatní</v>
      </c>
      <c r="C15" s="1" t="str">
        <f>VLOOKUP(B15,kategorie!$B$2:$C$99,2,FALSE())</f>
        <v>SKLO</v>
      </c>
      <c r="D15" s="1"/>
      <c r="E15" s="1"/>
      <c r="F15" s="1">
        <v>0</v>
      </c>
      <c r="G15" s="1">
        <v>0</v>
      </c>
      <c r="H15" s="1">
        <v>0</v>
      </c>
      <c r="I15" s="1">
        <v>1.18</v>
      </c>
      <c r="J15" s="1">
        <v>0</v>
      </c>
      <c r="K15" s="1">
        <v>0</v>
      </c>
      <c r="L15" s="1">
        <v>0.1</v>
      </c>
      <c r="M15" s="1"/>
      <c r="N15" s="1"/>
      <c r="O15" s="1"/>
      <c r="P15" s="1"/>
      <c r="Q15" s="1"/>
      <c r="R15" s="1"/>
      <c r="S15" s="1">
        <v>0.16</v>
      </c>
      <c r="T15" s="1"/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/>
      <c r="AB15" s="82"/>
      <c r="AC15" s="82"/>
      <c r="AD15" s="82"/>
      <c r="AE15" s="82"/>
      <c r="AF15" s="82">
        <v>0.28000000000000003</v>
      </c>
      <c r="AG15" s="82"/>
    </row>
    <row r="16" spans="1:33">
      <c r="A16" s="1">
        <v>28</v>
      </c>
      <c r="B16" s="1" t="str">
        <f>VLOOKUP(A16,kategorie!$A$2:$B$99,2,FALSE())</f>
        <v>feromagnetický</v>
      </c>
      <c r="C16" s="1" t="str">
        <f>VLOOKUP(B16,kategorie!$B$2:$C$99,2,FALSE())</f>
        <v>KOV</v>
      </c>
      <c r="D16" s="1">
        <v>3.1</v>
      </c>
      <c r="E16" s="1">
        <v>3.58</v>
      </c>
      <c r="F16" s="1">
        <v>5.4</v>
      </c>
      <c r="G16" s="1">
        <v>1.36</v>
      </c>
      <c r="H16" s="1">
        <v>1.1399999999999999</v>
      </c>
      <c r="I16" s="1">
        <v>3.28</v>
      </c>
      <c r="J16" s="1">
        <v>2.02</v>
      </c>
      <c r="K16" s="1">
        <v>3.2</v>
      </c>
      <c r="L16" s="1">
        <v>4.54</v>
      </c>
      <c r="M16" s="1">
        <v>2.8</v>
      </c>
      <c r="N16" s="1">
        <v>0.22</v>
      </c>
      <c r="O16" s="1">
        <v>2.9</v>
      </c>
      <c r="P16" s="1"/>
      <c r="Q16" s="1">
        <v>12.06</v>
      </c>
      <c r="R16" s="1">
        <v>0.38</v>
      </c>
      <c r="S16" s="1">
        <v>0.62</v>
      </c>
      <c r="T16" s="1">
        <v>2.78</v>
      </c>
      <c r="U16" s="82">
        <v>2.0299999999999998</v>
      </c>
      <c r="V16" s="82">
        <v>1.54</v>
      </c>
      <c r="W16" s="82">
        <v>1.43</v>
      </c>
      <c r="X16" s="82">
        <f>1.33+0.09+0.06</f>
        <v>1.4800000000000002</v>
      </c>
      <c r="Y16" s="82">
        <v>0.81</v>
      </c>
      <c r="Z16" s="82">
        <f>2.87+4.57</f>
        <v>7.44</v>
      </c>
      <c r="AA16" s="82">
        <v>1.42</v>
      </c>
      <c r="AB16" s="82">
        <v>1.49</v>
      </c>
      <c r="AC16" s="82">
        <f>3.49+0.6</f>
        <v>4.09</v>
      </c>
      <c r="AD16" s="82">
        <f>1.38+1.14</f>
        <v>2.5199999999999996</v>
      </c>
      <c r="AE16" s="82">
        <f>1.1+0.42</f>
        <v>1.52</v>
      </c>
      <c r="AF16" s="82">
        <v>1.42</v>
      </c>
      <c r="AG16" s="82">
        <v>2.82</v>
      </c>
    </row>
    <row r="17" spans="1:33">
      <c r="A17" s="1">
        <v>29</v>
      </c>
      <c r="B17" s="1" t="str">
        <f>VLOOKUP(A17,kategorie!$A$2:$B$99,2,FALSE())</f>
        <v>hliníkový</v>
      </c>
      <c r="C17" s="1" t="str">
        <f>VLOOKUP(B17,kategorie!$B$2:$C$99,2,FALSE())</f>
        <v>KOV</v>
      </c>
      <c r="D17" s="1">
        <v>1.36</v>
      </c>
      <c r="E17" s="1">
        <v>3.78</v>
      </c>
      <c r="F17" s="1">
        <v>1.74</v>
      </c>
      <c r="G17" s="1">
        <v>1.98</v>
      </c>
      <c r="H17" s="1">
        <v>1.86</v>
      </c>
      <c r="I17" s="1">
        <v>1.54</v>
      </c>
      <c r="J17" s="1">
        <v>1.2</v>
      </c>
      <c r="K17" s="1">
        <v>2.06</v>
      </c>
      <c r="L17" s="1">
        <v>2</v>
      </c>
      <c r="M17" s="1">
        <v>1.92</v>
      </c>
      <c r="N17" s="1">
        <v>0.22</v>
      </c>
      <c r="O17" s="1">
        <v>2.62</v>
      </c>
      <c r="P17" s="1">
        <v>5.8</v>
      </c>
      <c r="Q17" s="1">
        <v>1.18</v>
      </c>
      <c r="R17" s="1">
        <v>0.34</v>
      </c>
      <c r="S17" s="1">
        <v>0.76</v>
      </c>
      <c r="T17" s="1">
        <v>2.06</v>
      </c>
      <c r="U17" s="82">
        <v>0.68</v>
      </c>
      <c r="V17" s="82">
        <v>1.36</v>
      </c>
      <c r="W17" s="82">
        <f>0.33+0.15</f>
        <v>0.48</v>
      </c>
      <c r="X17" s="82">
        <f>0.03+0.39+0.02</f>
        <v>0.44000000000000006</v>
      </c>
      <c r="Y17" s="82">
        <v>0.4</v>
      </c>
      <c r="Z17" s="82">
        <f>0.35+2.84+1.14+0.73</f>
        <v>5.0600000000000005</v>
      </c>
      <c r="AA17" s="82">
        <v>1</v>
      </c>
      <c r="AB17" s="82">
        <v>0.85</v>
      </c>
      <c r="AC17" s="82">
        <v>2.62</v>
      </c>
      <c r="AD17" s="82">
        <v>2.02</v>
      </c>
      <c r="AE17" s="82">
        <v>1.38</v>
      </c>
      <c r="AF17" s="82">
        <f>1.32+0.56</f>
        <v>1.8800000000000001</v>
      </c>
      <c r="AG17" s="82">
        <v>0.98</v>
      </c>
    </row>
    <row r="18" spans="1:33">
      <c r="A18" s="1">
        <v>30</v>
      </c>
      <c r="B18" s="1" t="str">
        <f>VLOOKUP(A18,kategorie!$A$2:$B$99,2,FALSE())</f>
        <v>ostatní</v>
      </c>
      <c r="C18" s="1" t="str">
        <f>VLOOKUP(B18,kategorie!$B$2:$C$99,2,FALSE())</f>
        <v>KOV</v>
      </c>
      <c r="D18" s="1"/>
      <c r="E18" s="1"/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1E-3</v>
      </c>
      <c r="L18" s="1"/>
      <c r="M18" s="1"/>
      <c r="N18" s="1"/>
      <c r="O18" s="1"/>
      <c r="P18" s="1">
        <v>2.96</v>
      </c>
      <c r="Q18" s="1"/>
      <c r="R18" s="1"/>
      <c r="S18" s="1">
        <v>4.0999999999999996</v>
      </c>
      <c r="T18" s="1"/>
      <c r="U18" s="82">
        <v>0</v>
      </c>
      <c r="V18" s="82">
        <v>0</v>
      </c>
      <c r="W18" s="82">
        <v>0</v>
      </c>
      <c r="X18" s="82">
        <v>0</v>
      </c>
      <c r="Y18" s="82">
        <v>0</v>
      </c>
      <c r="Z18" s="82">
        <v>0</v>
      </c>
      <c r="AA18" s="82"/>
      <c r="AB18" s="82"/>
      <c r="AC18" s="82"/>
      <c r="AD18" s="82"/>
      <c r="AE18" s="82"/>
      <c r="AF18" s="82"/>
      <c r="AG18" s="82"/>
    </row>
    <row r="19" spans="1:33">
      <c r="A19" s="1">
        <v>31</v>
      </c>
      <c r="B19" s="1" t="str">
        <f>VLOOKUP(A19,kategorie!$A$2:$B$99,2,FALSE())</f>
        <v>oděvy</v>
      </c>
      <c r="C19" s="1" t="str">
        <f>VLOOKUP(B19,kategorie!$B$2:$C$99,2,FALSE())</f>
        <v>TEXTIL</v>
      </c>
      <c r="D19" s="1">
        <v>3.82</v>
      </c>
      <c r="E19" s="1">
        <v>5.6</v>
      </c>
      <c r="F19" s="1">
        <v>4.5999999999999996</v>
      </c>
      <c r="G19" s="1">
        <v>0.52</v>
      </c>
      <c r="H19" s="1">
        <v>1.06</v>
      </c>
      <c r="I19" s="1">
        <v>12.26</v>
      </c>
      <c r="J19" s="1">
        <v>0.64</v>
      </c>
      <c r="K19" s="1">
        <v>10.76</v>
      </c>
      <c r="L19" s="1">
        <v>0.56000000000000005</v>
      </c>
      <c r="M19" s="1">
        <v>0.05</v>
      </c>
      <c r="N19" s="1">
        <v>0.32</v>
      </c>
      <c r="O19" s="1">
        <v>3.76</v>
      </c>
      <c r="P19" s="1">
        <v>2.42</v>
      </c>
      <c r="Q19" s="1">
        <v>9.24</v>
      </c>
      <c r="R19" s="1">
        <v>8.1999999999999993</v>
      </c>
      <c r="S19" s="1">
        <v>3.22</v>
      </c>
      <c r="T19" s="1">
        <v>6.02</v>
      </c>
      <c r="U19" s="82">
        <v>0</v>
      </c>
      <c r="V19" s="82">
        <f>5.27+1.08</f>
        <v>6.35</v>
      </c>
      <c r="W19" s="82">
        <v>1.76</v>
      </c>
      <c r="X19" s="82">
        <v>2.11</v>
      </c>
      <c r="Y19" s="82">
        <v>0</v>
      </c>
      <c r="Z19" s="82">
        <f>7.69+5.85+5.5+4.48</f>
        <v>23.52</v>
      </c>
      <c r="AA19" s="82">
        <v>0.69</v>
      </c>
      <c r="AB19" s="82">
        <v>0.89</v>
      </c>
      <c r="AC19" s="82">
        <v>7.53</v>
      </c>
      <c r="AD19" s="82">
        <f>6.71+1.33</f>
        <v>8.0399999999999991</v>
      </c>
      <c r="AE19" s="82">
        <v>2.2200000000000002</v>
      </c>
      <c r="AF19" s="82">
        <f>1.8-0.44</f>
        <v>1.36</v>
      </c>
      <c r="AG19" s="82">
        <v>8.1999999999999993</v>
      </c>
    </row>
    <row r="20" spans="1:33">
      <c r="A20" s="1">
        <v>32</v>
      </c>
      <c r="B20" s="1" t="str">
        <f>VLOOKUP(A20,kategorie!$A$2:$B$99,2,FALSE())</f>
        <v xml:space="preserve">ostatní textil </v>
      </c>
      <c r="C20" s="1" t="str">
        <f>VLOOKUP(B20,kategorie!$B$2:$C$99,2,FALSE())</f>
        <v>TEXTIL</v>
      </c>
      <c r="D20" s="1">
        <v>1.92</v>
      </c>
      <c r="E20" s="1">
        <v>2.42</v>
      </c>
      <c r="F20" s="1">
        <v>6.64</v>
      </c>
      <c r="G20" s="1">
        <v>2.94</v>
      </c>
      <c r="H20" s="1">
        <v>1.96</v>
      </c>
      <c r="I20" s="1">
        <v>1.62</v>
      </c>
      <c r="J20" s="1">
        <v>0.5</v>
      </c>
      <c r="K20" s="1">
        <v>6.24</v>
      </c>
      <c r="L20" s="1"/>
      <c r="M20" s="1">
        <v>2.13</v>
      </c>
      <c r="N20" s="1">
        <v>1.22</v>
      </c>
      <c r="O20" s="1"/>
      <c r="P20" s="1">
        <v>3.52</v>
      </c>
      <c r="Q20" s="1">
        <v>4.18</v>
      </c>
      <c r="R20" s="1">
        <v>0.4</v>
      </c>
      <c r="S20" s="1">
        <v>1.22</v>
      </c>
      <c r="T20" s="1">
        <v>3.08</v>
      </c>
      <c r="U20" s="82">
        <v>1.88</v>
      </c>
      <c r="V20" s="82">
        <v>2.72</v>
      </c>
      <c r="W20" s="82">
        <v>0.15</v>
      </c>
      <c r="X20" s="82">
        <v>6.54</v>
      </c>
      <c r="Y20" s="82">
        <v>1.49</v>
      </c>
      <c r="Z20" s="82">
        <v>1.91</v>
      </c>
      <c r="AA20" s="82">
        <v>0.95</v>
      </c>
      <c r="AB20" s="82">
        <v>2.38</v>
      </c>
      <c r="AC20" s="82">
        <v>3.45</v>
      </c>
      <c r="AD20" s="82">
        <v>5.22</v>
      </c>
      <c r="AE20" s="82">
        <f>1.7+1.69</f>
        <v>3.3899999999999997</v>
      </c>
      <c r="AF20" s="82">
        <f>2.44-0.44</f>
        <v>2</v>
      </c>
      <c r="AG20" s="82">
        <v>0.42</v>
      </c>
    </row>
    <row r="21" spans="1:33">
      <c r="A21" s="1">
        <v>15</v>
      </c>
      <c r="B21" s="1" t="str">
        <f>VLOOKUP(A21,kategorie!$A$2:$B$99,2,FALSE())</f>
        <v>nápojový karton</v>
      </c>
      <c r="C21" s="1" t="str">
        <f>VLOOKUP(B21,kategorie!$B$2:$C$99,2,FALSE())</f>
        <v>NÁPOJOVÉ KARTONY</v>
      </c>
      <c r="D21" s="1">
        <v>0.98</v>
      </c>
      <c r="E21" s="1">
        <v>1.02</v>
      </c>
      <c r="F21" s="1">
        <v>1.94</v>
      </c>
      <c r="G21" s="1">
        <v>1.28</v>
      </c>
      <c r="H21" s="1">
        <v>0.7</v>
      </c>
      <c r="I21" s="1">
        <v>0.84</v>
      </c>
      <c r="J21" s="1">
        <v>1.48</v>
      </c>
      <c r="K21" s="1">
        <v>2.2599999999999998</v>
      </c>
      <c r="L21" s="1">
        <v>0.92</v>
      </c>
      <c r="M21" s="1">
        <v>1.06</v>
      </c>
      <c r="N21" s="1">
        <v>0.34</v>
      </c>
      <c r="O21" s="1">
        <v>2.06</v>
      </c>
      <c r="P21" s="1">
        <v>2.42</v>
      </c>
      <c r="Q21" s="1">
        <v>1.1399999999999999</v>
      </c>
      <c r="R21" s="1">
        <v>0.3</v>
      </c>
      <c r="S21" s="1">
        <v>1.5</v>
      </c>
      <c r="T21" s="1">
        <v>1.9</v>
      </c>
      <c r="U21" s="82">
        <v>1.1200000000000001</v>
      </c>
      <c r="V21" s="82">
        <v>0.52</v>
      </c>
      <c r="W21" s="82">
        <v>0.36</v>
      </c>
      <c r="X21" s="82">
        <v>0.24</v>
      </c>
      <c r="Y21" s="82">
        <v>0.12</v>
      </c>
      <c r="Z21" s="82">
        <v>2.2400000000000002</v>
      </c>
      <c r="AA21" s="82">
        <v>1.1200000000000001</v>
      </c>
      <c r="AB21" s="82">
        <v>0.9</v>
      </c>
      <c r="AC21" s="82">
        <v>1.88</v>
      </c>
      <c r="AD21" s="82">
        <v>0.78</v>
      </c>
      <c r="AE21" s="82">
        <v>1.92</v>
      </c>
      <c r="AF21" s="82">
        <v>0.36</v>
      </c>
      <c r="AG21" s="82">
        <v>1.18</v>
      </c>
    </row>
    <row r="22" spans="1:33">
      <c r="A22" s="1">
        <v>11</v>
      </c>
      <c r="B22" s="1" t="str">
        <f>VLOOKUP(A22,kategorie!$A$2:$B$99,2,FALSE())</f>
        <v>elektroodpad</v>
      </c>
      <c r="C22" s="1" t="str">
        <f>VLOOKUP(B22,kategorie!$B$2:$C$99,2,FALSE())</f>
        <v>ELEKTROZAŘÍZENÍ</v>
      </c>
      <c r="D22" s="1">
        <v>0.22</v>
      </c>
      <c r="E22" s="1">
        <v>2.7</v>
      </c>
      <c r="F22" s="1">
        <v>16.260000000000002</v>
      </c>
      <c r="G22" s="1">
        <v>0.06</v>
      </c>
      <c r="H22" s="1">
        <v>0.24</v>
      </c>
      <c r="I22" s="1">
        <v>1.42</v>
      </c>
      <c r="J22" s="1">
        <v>1.68</v>
      </c>
      <c r="K22" s="1">
        <v>1.76</v>
      </c>
      <c r="L22" s="1">
        <v>0.62</v>
      </c>
      <c r="M22" s="1">
        <v>10.02</v>
      </c>
      <c r="N22" s="1">
        <v>0</v>
      </c>
      <c r="O22" s="1">
        <v>0.18</v>
      </c>
      <c r="P22" s="1">
        <v>1.08</v>
      </c>
      <c r="Q22" s="1">
        <v>2.2599999999999998</v>
      </c>
      <c r="R22" s="1">
        <v>4.28</v>
      </c>
      <c r="S22" s="1">
        <v>0.26</v>
      </c>
      <c r="T22" s="1">
        <v>0.92</v>
      </c>
      <c r="U22" s="82">
        <v>0.17</v>
      </c>
      <c r="V22" s="82">
        <v>5.9</v>
      </c>
      <c r="W22" s="82">
        <v>0.11</v>
      </c>
      <c r="X22" s="82">
        <v>0.21</v>
      </c>
      <c r="Y22" s="82">
        <v>0.8</v>
      </c>
      <c r="Z22" s="82">
        <v>0.27</v>
      </c>
      <c r="AA22" s="82">
        <v>1</v>
      </c>
      <c r="AB22" s="82">
        <v>0.36</v>
      </c>
      <c r="AC22" s="82">
        <v>0.73</v>
      </c>
      <c r="AD22" s="82">
        <v>0.62</v>
      </c>
      <c r="AE22" s="82">
        <v>0.05</v>
      </c>
      <c r="AF22" s="82">
        <v>0.12</v>
      </c>
      <c r="AG22" s="82">
        <v>1.8</v>
      </c>
    </row>
    <row r="23" spans="1:33">
      <c r="A23" s="1">
        <v>33</v>
      </c>
      <c r="B23" s="1" t="str">
        <f>VLOOKUP(A23,kategorie!$A$2:$B$99,2,FALSE())</f>
        <v>baterie a akumulátory</v>
      </c>
      <c r="C23" s="1" t="str">
        <f>VLOOKUP(B23,kategorie!$B$2:$C$99,2,FALSE())</f>
        <v>BATERIE/ AKUMULÁTORY</v>
      </c>
      <c r="D23" s="1">
        <v>0.3</v>
      </c>
      <c r="E23" s="1">
        <v>0.12</v>
      </c>
      <c r="F23" s="1"/>
      <c r="G23" s="1">
        <v>0.08</v>
      </c>
      <c r="H23" s="1">
        <v>0</v>
      </c>
      <c r="I23" s="1">
        <v>0.24</v>
      </c>
      <c r="J23" s="1">
        <v>0.08</v>
      </c>
      <c r="K23" s="1">
        <v>0</v>
      </c>
      <c r="L23" s="1">
        <v>0</v>
      </c>
      <c r="M23" s="1">
        <v>0</v>
      </c>
      <c r="N23" s="1">
        <v>0</v>
      </c>
      <c r="O23" s="1">
        <v>0.34</v>
      </c>
      <c r="P23" s="1">
        <v>2.1999999999999999E-2</v>
      </c>
      <c r="Q23" s="1"/>
      <c r="R23" s="1"/>
      <c r="S23" s="1"/>
      <c r="T23" s="1">
        <v>0.24</v>
      </c>
      <c r="U23" s="82">
        <v>0</v>
      </c>
      <c r="V23" s="82">
        <v>0.13</v>
      </c>
      <c r="W23" s="82">
        <v>0.09</v>
      </c>
      <c r="X23" s="82">
        <v>0</v>
      </c>
      <c r="Y23" s="82">
        <v>0.17</v>
      </c>
      <c r="Z23" s="82">
        <v>0.9</v>
      </c>
      <c r="AA23" s="82">
        <v>0.15</v>
      </c>
      <c r="AB23" s="82">
        <v>0.16</v>
      </c>
      <c r="AC23" s="82">
        <v>0.08</v>
      </c>
      <c r="AD23" s="82">
        <v>0.13</v>
      </c>
      <c r="AE23" s="82">
        <v>0.03</v>
      </c>
      <c r="AF23" s="82">
        <v>0.02</v>
      </c>
      <c r="AG23" s="82">
        <v>0.21</v>
      </c>
    </row>
    <row r="24" spans="1:33">
      <c r="A24" s="1">
        <v>34</v>
      </c>
      <c r="B24" s="1" t="str">
        <f>VLOOKUP(A24,kategorie!$A$2:$B$99,2,FALSE())</f>
        <v>hygienické odpady</v>
      </c>
      <c r="C24" s="1" t="str">
        <f>VLOOKUP(B24,kategorie!$B$2:$C$99,2,FALSE())</f>
        <v>Ostatní ODPADY</v>
      </c>
      <c r="D24" s="1">
        <v>31.2</v>
      </c>
      <c r="E24" s="1">
        <v>35.28</v>
      </c>
      <c r="F24" s="1">
        <v>24.56</v>
      </c>
      <c r="G24" s="1">
        <v>14.66</v>
      </c>
      <c r="H24" s="1">
        <v>12.88</v>
      </c>
      <c r="I24" s="1">
        <v>14.3</v>
      </c>
      <c r="J24" s="1">
        <v>11.02</v>
      </c>
      <c r="K24" s="1">
        <v>41.68</v>
      </c>
      <c r="L24" s="1">
        <v>17.920000000000002</v>
      </c>
      <c r="M24" s="1">
        <v>19.059999999999999</v>
      </c>
      <c r="N24" s="1">
        <v>9.56</v>
      </c>
      <c r="O24" s="1">
        <v>20.239999999999998</v>
      </c>
      <c r="P24" s="1">
        <v>37.4</v>
      </c>
      <c r="Q24" s="1">
        <v>12.18</v>
      </c>
      <c r="R24" s="1">
        <v>8.8000000000000007</v>
      </c>
      <c r="S24" s="1">
        <v>17.399999999999999</v>
      </c>
      <c r="T24" s="1">
        <v>55.66</v>
      </c>
      <c r="U24" s="82">
        <f>10.94+5.13</f>
        <v>16.07</v>
      </c>
      <c r="V24" s="82">
        <f>8.52+2.11</f>
        <v>10.629999999999999</v>
      </c>
      <c r="W24" s="82">
        <v>6.22</v>
      </c>
      <c r="X24" s="82">
        <v>5.01</v>
      </c>
      <c r="Y24" s="82">
        <f>1.59</f>
        <v>1.59</v>
      </c>
      <c r="Z24" s="82">
        <f>15.3+7.04</f>
        <v>22.34</v>
      </c>
      <c r="AA24" s="82">
        <f>13.03+10.31+15.03</f>
        <v>38.369999999999997</v>
      </c>
      <c r="AB24" s="82">
        <f>1.4+16.73</f>
        <v>18.13</v>
      </c>
      <c r="AC24" s="82">
        <f>14.64+6.98+8.16</f>
        <v>29.78</v>
      </c>
      <c r="AD24" s="82">
        <f>15.48+0.76+5.35</f>
        <v>21.590000000000003</v>
      </c>
      <c r="AE24" s="82">
        <f>17.55+5.12</f>
        <v>22.67</v>
      </c>
      <c r="AF24" s="82">
        <f>10.46+4.68</f>
        <v>15.14</v>
      </c>
      <c r="AG24" s="82">
        <f>3.88+12.58+15.56</f>
        <v>32.020000000000003</v>
      </c>
    </row>
    <row r="25" spans="1:33">
      <c r="A25" s="1">
        <v>35</v>
      </c>
      <c r="B25" s="1" t="str">
        <f>VLOOKUP(A25,kategorie!$A$2:$B$99,2,FALSE())</f>
        <v>stavební/minerální odpad</v>
      </c>
      <c r="C25" s="1" t="str">
        <f>VLOOKUP(B25,kategorie!$B$2:$C$99,2,FALSE())</f>
        <v>Ostatní ODPADY</v>
      </c>
      <c r="D25" s="1">
        <v>6.18</v>
      </c>
      <c r="E25" s="1">
        <v>1.26</v>
      </c>
      <c r="F25" s="1">
        <v>1.96</v>
      </c>
      <c r="G25" s="1">
        <v>3.76</v>
      </c>
      <c r="H25" s="1">
        <v>1.02</v>
      </c>
      <c r="I25" s="1">
        <v>11.7</v>
      </c>
      <c r="J25" s="1">
        <v>6.08</v>
      </c>
      <c r="K25" s="1">
        <v>0</v>
      </c>
      <c r="L25" s="1">
        <v>0</v>
      </c>
      <c r="M25" s="1">
        <v>0</v>
      </c>
      <c r="N25" s="1">
        <v>8.5399999999999991</v>
      </c>
      <c r="O25" s="1">
        <v>12.18</v>
      </c>
      <c r="P25" s="1">
        <v>2.72</v>
      </c>
      <c r="Q25" s="1">
        <v>39.1</v>
      </c>
      <c r="R25" s="1">
        <v>33.78</v>
      </c>
      <c r="S25" s="1">
        <v>1.38</v>
      </c>
      <c r="T25" s="1">
        <v>4.46</v>
      </c>
      <c r="U25" s="82">
        <v>0.38</v>
      </c>
      <c r="V25" s="82">
        <v>0.31</v>
      </c>
      <c r="W25" s="82">
        <v>0.84</v>
      </c>
      <c r="X25" s="82">
        <v>3.7</v>
      </c>
      <c r="Y25" s="82">
        <f>4.91+13.97+0.8</f>
        <v>19.680000000000003</v>
      </c>
      <c r="Z25" s="82">
        <f>14.65+10.42+1.78+2.01</f>
        <v>28.86</v>
      </c>
      <c r="AA25" s="82">
        <v>5.36</v>
      </c>
      <c r="AB25" s="82">
        <v>0.1</v>
      </c>
      <c r="AC25" s="82">
        <f>0.83+2.6+2.52+2.06</f>
        <v>8.01</v>
      </c>
      <c r="AD25" s="82">
        <v>3.34</v>
      </c>
      <c r="AE25" s="82">
        <f>0.61+2.97+0.9</f>
        <v>4.4800000000000004</v>
      </c>
      <c r="AF25" s="82">
        <f>14.24+3.28</f>
        <v>17.52</v>
      </c>
      <c r="AG25" s="82">
        <v>11.88</v>
      </c>
    </row>
    <row r="26" spans="1:33">
      <c r="A26" s="1">
        <v>36</v>
      </c>
      <c r="B26" s="1" t="str">
        <f>VLOOKUP(A26,kategorie!$A$2:$B$99,2,FALSE())</f>
        <v>nebezpečné odpady</v>
      </c>
      <c r="C26" s="1" t="str">
        <f>VLOOKUP(B26,kategorie!$B$2:$C$99,2,FALSE())</f>
        <v>Ostatní ODPADY</v>
      </c>
      <c r="D26" s="1">
        <v>1.82</v>
      </c>
      <c r="E26" s="1">
        <v>2.3199999999999998</v>
      </c>
      <c r="F26" s="1">
        <v>0</v>
      </c>
      <c r="G26" s="1">
        <v>1.4</v>
      </c>
      <c r="H26" s="1">
        <v>0</v>
      </c>
      <c r="I26" s="1">
        <v>0.64</v>
      </c>
      <c r="J26" s="1">
        <v>0</v>
      </c>
      <c r="K26" s="1">
        <v>0.84</v>
      </c>
      <c r="L26" s="1">
        <v>0.01</v>
      </c>
      <c r="M26" s="1">
        <v>0.38</v>
      </c>
      <c r="N26" s="1">
        <v>0</v>
      </c>
      <c r="O26" s="1">
        <v>0</v>
      </c>
      <c r="P26" s="1">
        <v>0.12</v>
      </c>
      <c r="Q26" s="1">
        <v>0.16</v>
      </c>
      <c r="R26" s="1">
        <v>0.16</v>
      </c>
      <c r="S26" s="1">
        <v>0.86</v>
      </c>
      <c r="T26" s="1">
        <v>4.4400000000000004</v>
      </c>
      <c r="U26" s="83">
        <v>7.0000000000000007E-2</v>
      </c>
      <c r="V26" s="83">
        <v>0.5</v>
      </c>
      <c r="W26" s="83">
        <v>0</v>
      </c>
      <c r="X26" s="83">
        <v>0</v>
      </c>
      <c r="Y26" s="83">
        <v>0.06</v>
      </c>
      <c r="Z26" s="83">
        <v>0.28000000000000003</v>
      </c>
      <c r="AA26" s="83">
        <v>7.0000000000000007E-2</v>
      </c>
      <c r="AB26" s="83">
        <v>0.26</v>
      </c>
      <c r="AC26" s="83"/>
      <c r="AD26" s="83"/>
      <c r="AE26" s="83">
        <v>0.01</v>
      </c>
      <c r="AF26" s="83"/>
      <c r="AG26" s="83">
        <v>1E-3</v>
      </c>
    </row>
    <row r="27" spans="1:33">
      <c r="A27" s="1">
        <v>37</v>
      </c>
      <c r="B27" s="1" t="str">
        <f>VLOOKUP(A27,kategorie!$A$2:$B$99,2,FALSE())</f>
        <v>komplexní produkty</v>
      </c>
      <c r="C27" s="1" t="str">
        <f>VLOOKUP(B27,kategorie!$B$2:$C$99,2,FALSE())</f>
        <v>Ostatní ODPADY</v>
      </c>
      <c r="D27" s="1">
        <v>5.98</v>
      </c>
      <c r="E27" s="1">
        <v>5.42</v>
      </c>
      <c r="F27" s="1">
        <v>1.9</v>
      </c>
      <c r="G27" s="1">
        <v>4.68</v>
      </c>
      <c r="H27" s="1">
        <v>1E-3</v>
      </c>
      <c r="I27" s="1">
        <v>2.54</v>
      </c>
      <c r="J27" s="1">
        <v>0.72</v>
      </c>
      <c r="K27" s="1">
        <v>6.58</v>
      </c>
      <c r="L27" s="1">
        <v>2.14</v>
      </c>
      <c r="M27" s="1">
        <v>0</v>
      </c>
      <c r="N27" s="1">
        <v>0</v>
      </c>
      <c r="O27" s="1">
        <v>1.72</v>
      </c>
      <c r="P27" s="1">
        <v>3.12</v>
      </c>
      <c r="Q27" s="1">
        <v>2.36</v>
      </c>
      <c r="R27" s="1">
        <v>2.76</v>
      </c>
      <c r="S27" s="1">
        <v>3.75</v>
      </c>
      <c r="T27" s="1">
        <v>2.64</v>
      </c>
      <c r="U27" s="82">
        <v>2.2400000000000002</v>
      </c>
      <c r="V27" s="82">
        <v>0.42</v>
      </c>
      <c r="W27" s="82">
        <f>0.28+0.44</f>
        <v>0.72</v>
      </c>
      <c r="X27" s="82">
        <f>0.09+0.49</f>
        <v>0.57999999999999996</v>
      </c>
      <c r="Y27" s="82">
        <f>0.19+0.15+0.03</f>
        <v>0.37</v>
      </c>
      <c r="Z27" s="82">
        <f>1.77+0.63+3.49</f>
        <v>5.8900000000000006</v>
      </c>
      <c r="AA27" s="82">
        <v>0.84</v>
      </c>
      <c r="AB27" s="82">
        <v>0.31</v>
      </c>
      <c r="AC27" s="82">
        <f>1.71+0.3+0.09</f>
        <v>2.0999999999999996</v>
      </c>
      <c r="AD27" s="82">
        <f>0.89-0.13</f>
        <v>0.76</v>
      </c>
      <c r="AE27" s="82">
        <v>2.96</v>
      </c>
      <c r="AF27" s="82">
        <f>0.06+0.7+0.16</f>
        <v>0.92</v>
      </c>
      <c r="AG27" s="82">
        <v>2.38</v>
      </c>
    </row>
    <row r="28" spans="1:33">
      <c r="A28" s="1">
        <v>38</v>
      </c>
      <c r="B28" s="1" t="str">
        <f>VLOOKUP(A28,kategorie!$A$2:$B$99,2,FALSE())</f>
        <v>kompozitní obaly</v>
      </c>
      <c r="C28" s="1" t="str">
        <f>VLOOKUP(B28,kategorie!$B$2:$C$99,2,FALSE())</f>
        <v>Ostatní ODPADY</v>
      </c>
      <c r="D28" s="1">
        <v>3.84</v>
      </c>
      <c r="E28" s="1">
        <v>4.92</v>
      </c>
      <c r="F28" s="1">
        <v>2.44</v>
      </c>
      <c r="G28" s="1">
        <v>1.42</v>
      </c>
      <c r="H28" s="1">
        <v>1.74</v>
      </c>
      <c r="I28" s="1">
        <v>3.06</v>
      </c>
      <c r="J28" s="1">
        <v>4.1399999999999997</v>
      </c>
      <c r="K28" s="1">
        <v>3.98</v>
      </c>
      <c r="L28" s="1">
        <v>1.58</v>
      </c>
      <c r="M28" s="1">
        <v>1.5</v>
      </c>
      <c r="N28" s="1">
        <v>0.9</v>
      </c>
      <c r="O28" s="1">
        <v>3.3</v>
      </c>
      <c r="P28" s="1"/>
      <c r="Q28" s="1">
        <v>1.62</v>
      </c>
      <c r="R28" s="1">
        <v>2.46</v>
      </c>
      <c r="S28" s="1">
        <v>0.56000000000000005</v>
      </c>
      <c r="T28" s="1"/>
      <c r="U28" s="82">
        <v>1.82</v>
      </c>
      <c r="V28" s="82">
        <v>2.37</v>
      </c>
      <c r="W28" s="82">
        <v>1.41</v>
      </c>
      <c r="X28" s="82">
        <v>0.85</v>
      </c>
      <c r="Y28" s="82">
        <v>0.35</v>
      </c>
      <c r="Z28" s="82">
        <v>1.85</v>
      </c>
      <c r="AA28" s="82">
        <v>2.75</v>
      </c>
      <c r="AB28" s="82">
        <v>1.1299999999999999</v>
      </c>
      <c r="AC28" s="82">
        <f>1.85+2.05</f>
        <v>3.9</v>
      </c>
      <c r="AD28" s="82">
        <v>3.06</v>
      </c>
      <c r="AE28" s="82">
        <v>2.0299999999999998</v>
      </c>
      <c r="AF28" s="82">
        <v>1.76</v>
      </c>
      <c r="AG28" s="82">
        <v>2.98</v>
      </c>
    </row>
    <row r="29" spans="1:33">
      <c r="B29" s="74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</row>
    <row r="30" spans="1:33">
      <c r="B30" s="75" t="s">
        <v>298</v>
      </c>
    </row>
    <row r="31" spans="1:33">
      <c r="B31" s="76" t="s">
        <v>299</v>
      </c>
    </row>
    <row r="32" spans="1:33">
      <c r="B32" s="77" t="s">
        <v>300</v>
      </c>
    </row>
    <row r="33" spans="2:2">
      <c r="B33" s="78" t="s">
        <v>301</v>
      </c>
    </row>
    <row r="34" spans="2:2">
      <c r="B34" s="79" t="s">
        <v>302</v>
      </c>
    </row>
    <row r="35" spans="2:2">
      <c r="B35" s="80" t="s">
        <v>303</v>
      </c>
    </row>
    <row r="36" spans="2:2">
      <c r="B36" s="81" t="s">
        <v>304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analyzy</vt:lpstr>
      <vt:lpstr>dt15</vt:lpstr>
      <vt:lpstr>dt16</vt:lpstr>
      <vt:lpstr>dt17</vt:lpstr>
      <vt:lpstr>dt18</vt:lpstr>
      <vt:lpstr>dt19</vt:lpstr>
      <vt:lpstr>dt20</vt:lpstr>
      <vt:lpstr>dt21-22</vt:lpstr>
      <vt:lpstr>dt23-24</vt:lpstr>
      <vt:lpstr>kategorie</vt:lpstr>
      <vt:lpstr>volby</vt:lpstr>
      <vt:lpstr>pozn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</dc:creator>
  <dc:description/>
  <cp:lastModifiedBy>Vratislav Zabka</cp:lastModifiedBy>
  <cp:revision>29</cp:revision>
  <dcterms:created xsi:type="dcterms:W3CDTF">2021-02-09T16:32:11Z</dcterms:created>
  <dcterms:modified xsi:type="dcterms:W3CDTF">2025-02-11T06:19:59Z</dcterms:modified>
  <dc:language>en-US</dc:language>
</cp:coreProperties>
</file>